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ERÉKPÁR\2016\MTBO\PONTVERSENY\"/>
    </mc:Choice>
  </mc:AlternateContent>
  <bookViews>
    <workbookView xWindow="0" yWindow="0" windowWidth="9270" windowHeight="7050" tabRatio="801"/>
  </bookViews>
  <sheets>
    <sheet name="Férfi Elit" sheetId="1" r:id="rId1"/>
    <sheet name="Női Elit" sheetId="2" r:id="rId2"/>
    <sheet name="N14" sheetId="3" r:id="rId3"/>
    <sheet name="F14" sheetId="4" r:id="rId4"/>
    <sheet name="N15-17" sheetId="5" r:id="rId5"/>
    <sheet name="F15-17" sheetId="6" r:id="rId6"/>
    <sheet name="N18-20" sheetId="7" r:id="rId7"/>
    <sheet name="F18-20" sheetId="8" r:id="rId8"/>
    <sheet name="N21B" sheetId="9" r:id="rId9"/>
    <sheet name="F21B" sheetId="10" r:id="rId10"/>
    <sheet name="N40" sheetId="11" r:id="rId11"/>
    <sheet name="F40" sheetId="12" r:id="rId12"/>
    <sheet name="N50" sheetId="13" r:id="rId13"/>
    <sheet name="F50" sheetId="14" r:id="rId14"/>
    <sheet name="F60" sheetId="15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15" l="1"/>
  <c r="S5" i="14"/>
  <c r="S4" i="14"/>
  <c r="S3" i="14"/>
  <c r="R11" i="14"/>
  <c r="R5" i="14"/>
  <c r="R4" i="14"/>
  <c r="R3" i="14"/>
  <c r="Q11" i="14"/>
  <c r="Q5" i="14"/>
  <c r="Q4" i="14"/>
  <c r="Q3" i="14"/>
  <c r="S6" i="12"/>
  <c r="S3" i="12"/>
  <c r="S3" i="11"/>
  <c r="S4" i="9"/>
  <c r="S3" i="8"/>
  <c r="S4" i="2"/>
  <c r="S3" i="2"/>
  <c r="R9" i="11" l="1"/>
  <c r="R3" i="11"/>
  <c r="R6" i="11"/>
  <c r="R4" i="11"/>
  <c r="R4" i="9"/>
  <c r="R3" i="9"/>
  <c r="R5" i="2"/>
  <c r="R3" i="2"/>
  <c r="R7" i="2"/>
  <c r="S9" i="15"/>
  <c r="R5" i="15"/>
  <c r="R3" i="15"/>
  <c r="R8" i="15"/>
  <c r="R16" i="12"/>
  <c r="R9" i="12"/>
  <c r="R11" i="12"/>
  <c r="R14" i="12"/>
  <c r="R6" i="12"/>
  <c r="R7" i="12"/>
  <c r="R4" i="12"/>
  <c r="R12" i="12"/>
  <c r="R5" i="12"/>
  <c r="R4" i="10"/>
  <c r="R8" i="10"/>
  <c r="R5" i="10"/>
  <c r="R6" i="10"/>
  <c r="R3" i="10"/>
  <c r="R8" i="1"/>
  <c r="R10" i="1"/>
  <c r="R5" i="1"/>
  <c r="R4" i="1"/>
  <c r="R8" i="8"/>
  <c r="R7" i="8"/>
  <c r="R6" i="8"/>
  <c r="R3" i="8"/>
  <c r="R5" i="4"/>
  <c r="R3" i="4"/>
  <c r="Q3" i="11" l="1"/>
  <c r="Q9" i="11"/>
  <c r="Q6" i="11"/>
  <c r="Q4" i="11"/>
  <c r="Q11" i="11"/>
  <c r="Q4" i="9"/>
  <c r="Q4" i="2"/>
  <c r="Q5" i="2"/>
  <c r="Q6" i="2"/>
  <c r="Q7" i="2"/>
  <c r="Q3" i="2"/>
  <c r="Q5" i="15"/>
  <c r="Q3" i="15"/>
  <c r="S16" i="12"/>
  <c r="Q16" i="12"/>
  <c r="Q11" i="12"/>
  <c r="Q9" i="12"/>
  <c r="Q5" i="12"/>
  <c r="Q6" i="12"/>
  <c r="Q7" i="12"/>
  <c r="Q12" i="12"/>
  <c r="Q4" i="12"/>
  <c r="Q3" i="12"/>
  <c r="Q6" i="10"/>
  <c r="Q8" i="10"/>
  <c r="Q5" i="10"/>
  <c r="Q4" i="10"/>
  <c r="Q3" i="10"/>
  <c r="Q18" i="1"/>
  <c r="Q8" i="1"/>
  <c r="Q4" i="1"/>
  <c r="Q3" i="1"/>
  <c r="Q8" i="8"/>
  <c r="Q3" i="8"/>
  <c r="Q6" i="8"/>
  <c r="Q7" i="8"/>
  <c r="S8" i="8"/>
  <c r="Q5" i="4"/>
  <c r="Q3" i="4"/>
  <c r="P5" i="12" l="1"/>
  <c r="S11" i="4" l="1"/>
  <c r="P7" i="9"/>
  <c r="P6" i="9"/>
  <c r="P4" i="9"/>
  <c r="P3" i="9"/>
  <c r="S8" i="9"/>
  <c r="P8" i="9"/>
  <c r="P3" i="15"/>
  <c r="P11" i="12"/>
  <c r="P19" i="12"/>
  <c r="P14" i="12"/>
  <c r="P4" i="12"/>
  <c r="P9" i="12"/>
  <c r="P5" i="14"/>
  <c r="P3" i="14"/>
  <c r="P4" i="14"/>
  <c r="P10" i="10"/>
  <c r="P5" i="10"/>
  <c r="P4" i="10"/>
  <c r="P6" i="10"/>
  <c r="P3" i="10"/>
  <c r="P10" i="6"/>
  <c r="S10" i="6" s="1"/>
  <c r="P9" i="6"/>
  <c r="P8" i="6"/>
  <c r="P6" i="6"/>
  <c r="P7" i="6"/>
  <c r="S7" i="6" s="1"/>
  <c r="P5" i="6"/>
  <c r="S8" i="6"/>
  <c r="P8" i="4"/>
  <c r="P11" i="4"/>
  <c r="P7" i="4"/>
  <c r="P6" i="2"/>
  <c r="P5" i="2"/>
  <c r="P3" i="2"/>
  <c r="P15" i="1"/>
  <c r="P7" i="1"/>
  <c r="P3" i="1"/>
  <c r="P11" i="1"/>
  <c r="P17" i="1"/>
  <c r="P10" i="1"/>
  <c r="P14" i="1"/>
  <c r="P5" i="1"/>
  <c r="P4" i="1"/>
  <c r="O4" i="13"/>
  <c r="S4" i="13" s="1"/>
  <c r="S6" i="9"/>
  <c r="S11" i="9"/>
  <c r="O5" i="9"/>
  <c r="O11" i="9"/>
  <c r="O10" i="9"/>
  <c r="S10" i="9" s="1"/>
  <c r="O6" i="9"/>
  <c r="O4" i="9"/>
  <c r="O7" i="9"/>
  <c r="S7" i="9" s="1"/>
  <c r="O3" i="9"/>
  <c r="O4" i="5"/>
  <c r="O3" i="5"/>
  <c r="O3" i="15"/>
  <c r="O11" i="12" l="1"/>
  <c r="S11" i="12" s="1"/>
  <c r="O9" i="12"/>
  <c r="S9" i="12" s="1"/>
  <c r="O5" i="12"/>
  <c r="O5" i="14"/>
  <c r="O4" i="14"/>
  <c r="O3" i="14"/>
  <c r="O6" i="12"/>
  <c r="O14" i="12"/>
  <c r="O8" i="12"/>
  <c r="O4" i="12"/>
  <c r="O3" i="12"/>
  <c r="O14" i="10"/>
  <c r="O7" i="10"/>
  <c r="O5" i="10"/>
  <c r="O6" i="10"/>
  <c r="O4" i="10"/>
  <c r="O3" i="10"/>
  <c r="O3" i="8"/>
  <c r="O5" i="4"/>
  <c r="O8" i="4"/>
  <c r="O14" i="4"/>
  <c r="S14" i="4" s="1"/>
  <c r="O7" i="4"/>
  <c r="S7" i="4" s="1"/>
  <c r="O5" i="2"/>
  <c r="O4" i="2"/>
  <c r="O6" i="2"/>
  <c r="O3" i="2"/>
  <c r="O15" i="1"/>
  <c r="O19" i="1"/>
  <c r="O7" i="1"/>
  <c r="O5" i="1"/>
  <c r="O11" i="1"/>
  <c r="O8" i="1"/>
  <c r="O3" i="1"/>
  <c r="O4" i="1"/>
  <c r="M4" i="15" l="1"/>
  <c r="L4" i="15"/>
  <c r="N3" i="11" l="1"/>
  <c r="N4" i="2"/>
  <c r="N5" i="14"/>
  <c r="N3" i="14"/>
  <c r="N13" i="12"/>
  <c r="L13" i="10"/>
  <c r="M13" i="10"/>
  <c r="N13" i="10"/>
  <c r="N10" i="10"/>
  <c r="N5" i="10"/>
  <c r="N4" i="10"/>
  <c r="N3" i="10"/>
  <c r="N7" i="1"/>
  <c r="N3" i="1"/>
  <c r="N5" i="1"/>
  <c r="M3" i="11"/>
  <c r="M5" i="11"/>
  <c r="M4" i="9"/>
  <c r="M4" i="2"/>
  <c r="M3" i="14"/>
  <c r="M5" i="14"/>
  <c r="M6" i="12"/>
  <c r="M13" i="12"/>
  <c r="M5" i="10"/>
  <c r="M3" i="10"/>
  <c r="M4" i="10"/>
  <c r="M7" i="1"/>
  <c r="M3" i="1"/>
  <c r="M5" i="1"/>
  <c r="L5" i="11" l="1"/>
  <c r="L3" i="11"/>
  <c r="L4" i="9"/>
  <c r="L4" i="2"/>
  <c r="L5" i="14"/>
  <c r="L3" i="14"/>
  <c r="L6" i="12"/>
  <c r="L13" i="12"/>
  <c r="S13" i="12" s="1"/>
  <c r="L4" i="10"/>
  <c r="L5" i="10"/>
  <c r="L3" i="10"/>
  <c r="L7" i="1"/>
  <c r="L3" i="1"/>
  <c r="L5" i="1"/>
  <c r="K7" i="1" l="1"/>
  <c r="K8" i="11" l="1"/>
  <c r="K5" i="11"/>
  <c r="K3" i="11"/>
  <c r="K7" i="11"/>
  <c r="K4" i="9"/>
  <c r="K5" i="9"/>
  <c r="K3" i="9"/>
  <c r="K3" i="7"/>
  <c r="K3" i="5"/>
  <c r="K6" i="15"/>
  <c r="K4" i="15"/>
  <c r="K6" i="14"/>
  <c r="K7" i="14"/>
  <c r="K5" i="14"/>
  <c r="K4" i="14"/>
  <c r="K14" i="12"/>
  <c r="S14" i="12" s="1"/>
  <c r="K6" i="12"/>
  <c r="K7" i="12"/>
  <c r="K8" i="12"/>
  <c r="K4" i="12"/>
  <c r="K5" i="12"/>
  <c r="K3" i="12"/>
  <c r="K12" i="10"/>
  <c r="K7" i="10"/>
  <c r="K8" i="10"/>
  <c r="K6" i="10"/>
  <c r="K5" i="10"/>
  <c r="K9" i="10"/>
  <c r="K3" i="10"/>
  <c r="K3" i="8"/>
  <c r="K5" i="8"/>
  <c r="K8" i="4"/>
  <c r="S8" i="4" s="1"/>
  <c r="K5" i="4"/>
  <c r="K4" i="4"/>
  <c r="K6" i="4"/>
  <c r="K8" i="2"/>
  <c r="K4" i="2"/>
  <c r="K5" i="2"/>
  <c r="K3" i="2"/>
  <c r="K9" i="1"/>
  <c r="K8" i="1"/>
  <c r="K13" i="1"/>
  <c r="K11" i="1"/>
  <c r="K12" i="1"/>
  <c r="K6" i="1"/>
  <c r="K5" i="1"/>
  <c r="J5" i="11" l="1"/>
  <c r="J8" i="11"/>
  <c r="J7" i="11"/>
  <c r="J3" i="11"/>
  <c r="J10" i="11"/>
  <c r="J5" i="9"/>
  <c r="J4" i="9"/>
  <c r="J3" i="9"/>
  <c r="J3" i="3"/>
  <c r="J5" i="15"/>
  <c r="J3" i="15"/>
  <c r="J6" i="15"/>
  <c r="J4" i="15"/>
  <c r="J7" i="14"/>
  <c r="J4" i="14"/>
  <c r="J22" i="12"/>
  <c r="J6" i="12"/>
  <c r="J17" i="12"/>
  <c r="J8" i="12"/>
  <c r="J5" i="12"/>
  <c r="J12" i="10"/>
  <c r="J8" i="10"/>
  <c r="J7" i="10"/>
  <c r="J5" i="10"/>
  <c r="J6" i="10"/>
  <c r="J3" i="10"/>
  <c r="J9" i="10"/>
  <c r="J10" i="8"/>
  <c r="J9" i="8"/>
  <c r="J5" i="8"/>
  <c r="S5" i="8" s="1"/>
  <c r="J3" i="8"/>
  <c r="J5" i="4"/>
  <c r="J10" i="4"/>
  <c r="J13" i="4"/>
  <c r="S13" i="4" s="1"/>
  <c r="J12" i="4"/>
  <c r="S12" i="4" s="1"/>
  <c r="J9" i="4"/>
  <c r="J4" i="4"/>
  <c r="J6" i="4"/>
  <c r="S6" i="4" s="1"/>
  <c r="J8" i="2"/>
  <c r="J4" i="2"/>
  <c r="J3" i="2"/>
  <c r="J5" i="2"/>
  <c r="J14" i="1"/>
  <c r="J7" i="1"/>
  <c r="J9" i="1"/>
  <c r="J5" i="1"/>
  <c r="J13" i="1"/>
  <c r="J8" i="1"/>
  <c r="J11" i="1"/>
  <c r="J10" i="1"/>
  <c r="J4" i="1"/>
  <c r="J6" i="1"/>
  <c r="I3" i="13" l="1"/>
  <c r="I4" i="11"/>
  <c r="I5" i="9"/>
  <c r="I3" i="15"/>
  <c r="I9" i="14"/>
  <c r="I8" i="14"/>
  <c r="I6" i="14"/>
  <c r="I7" i="14"/>
  <c r="I4" i="14"/>
  <c r="I3" i="14"/>
  <c r="I21" i="12"/>
  <c r="I7" i="12"/>
  <c r="I6" i="12"/>
  <c r="I8" i="12"/>
  <c r="I12" i="12"/>
  <c r="I3" i="12"/>
  <c r="I15" i="12"/>
  <c r="I5" i="10"/>
  <c r="I6" i="10"/>
  <c r="I3" i="10"/>
  <c r="I4" i="10"/>
  <c r="I4" i="8"/>
  <c r="I3" i="8"/>
  <c r="I4" i="6"/>
  <c r="I3" i="6"/>
  <c r="I4" i="4"/>
  <c r="I3" i="4"/>
  <c r="I3" i="2"/>
  <c r="I7" i="1"/>
  <c r="I9" i="1"/>
  <c r="I12" i="1"/>
  <c r="H6" i="13" l="1"/>
  <c r="S6" i="13" s="1"/>
  <c r="H3" i="13"/>
  <c r="H4" i="11"/>
  <c r="H4" i="9"/>
  <c r="H5" i="9"/>
  <c r="H3" i="5"/>
  <c r="H5" i="15"/>
  <c r="H14" i="14"/>
  <c r="H9" i="14"/>
  <c r="H6" i="14"/>
  <c r="H8" i="14"/>
  <c r="H10" i="14"/>
  <c r="H3" i="14"/>
  <c r="H4" i="14"/>
  <c r="H6" i="12"/>
  <c r="H7" i="12"/>
  <c r="H20" i="12"/>
  <c r="H8" i="12"/>
  <c r="H18" i="12"/>
  <c r="H12" i="12"/>
  <c r="H10" i="12"/>
  <c r="H3" i="12"/>
  <c r="H15" i="12"/>
  <c r="H5" i="10"/>
  <c r="H3" i="10"/>
  <c r="H6" i="10"/>
  <c r="S6" i="10" s="1"/>
  <c r="H4" i="10"/>
  <c r="H4" i="8"/>
  <c r="H3" i="8"/>
  <c r="H4" i="6"/>
  <c r="H3" i="6"/>
  <c r="H5" i="4"/>
  <c r="S5" i="4" s="1"/>
  <c r="H3" i="4"/>
  <c r="S3" i="4" s="1"/>
  <c r="H4" i="4"/>
  <c r="S4" i="4" s="1"/>
  <c r="H10" i="2"/>
  <c r="H4" i="2"/>
  <c r="H3" i="2"/>
  <c r="H7" i="1"/>
  <c r="H9" i="1"/>
  <c r="H6" i="1"/>
  <c r="H3" i="1"/>
  <c r="H12" i="1"/>
  <c r="F5" i="13" l="1"/>
  <c r="F5" i="11"/>
  <c r="F3" i="11"/>
  <c r="G5" i="1"/>
  <c r="F5" i="1"/>
  <c r="S5" i="1" s="1"/>
  <c r="G9" i="14" l="1"/>
  <c r="G3" i="6" l="1"/>
  <c r="G3" i="13"/>
  <c r="G3" i="5"/>
  <c r="G3" i="2"/>
  <c r="G3" i="15"/>
  <c r="G7" i="15"/>
  <c r="G6" i="14"/>
  <c r="G8" i="14"/>
  <c r="G4" i="14"/>
  <c r="G12" i="14"/>
  <c r="G3" i="14"/>
  <c r="G10" i="12"/>
  <c r="G3" i="12"/>
  <c r="G10" i="10"/>
  <c r="G5" i="10"/>
  <c r="G11" i="10"/>
  <c r="G3" i="8"/>
  <c r="G6" i="1"/>
  <c r="G3" i="1"/>
  <c r="F3" i="5"/>
  <c r="F3" i="2"/>
  <c r="F3" i="15"/>
  <c r="F6" i="14" l="1"/>
  <c r="F4" i="14"/>
  <c r="F5" i="14"/>
  <c r="F3" i="14"/>
  <c r="F6" i="12"/>
  <c r="F10" i="12"/>
  <c r="F3" i="12"/>
  <c r="F5" i="10"/>
  <c r="F11" i="10"/>
  <c r="F4" i="10"/>
  <c r="F9" i="10"/>
  <c r="F4" i="8"/>
  <c r="F3" i="8"/>
  <c r="F6" i="1"/>
  <c r="F3" i="1"/>
  <c r="S3" i="1" s="1"/>
  <c r="S5" i="10" l="1"/>
  <c r="E4" i="9"/>
  <c r="E5" i="9"/>
  <c r="E3" i="9"/>
  <c r="E9" i="9"/>
  <c r="E4" i="2"/>
  <c r="E7" i="2"/>
  <c r="E9" i="2"/>
  <c r="E6" i="2"/>
  <c r="E3" i="2"/>
  <c r="E5" i="15"/>
  <c r="E3" i="15"/>
  <c r="S7" i="15"/>
  <c r="E13" i="14"/>
  <c r="E4" i="14"/>
  <c r="E5" i="14"/>
  <c r="E3" i="14"/>
  <c r="E6" i="12"/>
  <c r="E7" i="12"/>
  <c r="E4" i="12"/>
  <c r="E9" i="4"/>
  <c r="S9" i="4" s="1"/>
  <c r="E10" i="4"/>
  <c r="S10" i="4" s="1"/>
  <c r="E7" i="10"/>
  <c r="E3" i="10"/>
  <c r="E5" i="10"/>
  <c r="E4" i="10"/>
  <c r="E16" i="1"/>
  <c r="E9" i="1"/>
  <c r="S9" i="1" s="1"/>
  <c r="E7" i="1"/>
  <c r="E8" i="1"/>
  <c r="E4" i="1"/>
  <c r="E6" i="1"/>
  <c r="E10" i="1"/>
  <c r="S10" i="1" s="1"/>
  <c r="D3" i="5"/>
  <c r="S3" i="5" s="1"/>
  <c r="S3" i="9"/>
  <c r="D3" i="9"/>
  <c r="D3" i="2"/>
  <c r="D4" i="2"/>
  <c r="D5" i="2"/>
  <c r="D5" i="14"/>
  <c r="D10" i="14"/>
  <c r="D3" i="14"/>
  <c r="S11" i="10"/>
  <c r="S9" i="10"/>
  <c r="S8" i="1"/>
  <c r="D6" i="12"/>
  <c r="D7" i="12"/>
  <c r="S7" i="12" s="1"/>
  <c r="D4" i="12"/>
  <c r="S4" i="12" s="1"/>
  <c r="D3" i="12"/>
  <c r="D10" i="12"/>
  <c r="S10" i="12" s="1"/>
  <c r="D7" i="10"/>
  <c r="D5" i="10"/>
  <c r="D3" i="10"/>
  <c r="D4" i="10"/>
  <c r="S4" i="10" s="1"/>
  <c r="D7" i="1"/>
  <c r="S7" i="1" s="1"/>
  <c r="D4" i="1"/>
  <c r="S4" i="1" s="1"/>
  <c r="D6" i="1"/>
  <c r="S6" i="1" s="1"/>
  <c r="S3" i="10" l="1"/>
  <c r="S11" i="11"/>
  <c r="S8" i="11" l="1"/>
  <c r="S6" i="11"/>
  <c r="S7" i="14"/>
  <c r="S8" i="10"/>
  <c r="S6" i="15"/>
  <c r="S12" i="14"/>
  <c r="S11" i="14"/>
  <c r="S22" i="12"/>
  <c r="S6" i="6"/>
  <c r="S5" i="6"/>
  <c r="S5" i="15" l="1"/>
  <c r="S8" i="15"/>
  <c r="S4" i="15"/>
  <c r="S9" i="14"/>
  <c r="S14" i="14"/>
  <c r="S8" i="14"/>
  <c r="S13" i="14"/>
  <c r="S10" i="14"/>
  <c r="S6" i="14"/>
  <c r="S5" i="13"/>
  <c r="S3" i="13"/>
  <c r="S19" i="12"/>
  <c r="S17" i="12"/>
  <c r="S5" i="12"/>
  <c r="S21" i="12"/>
  <c r="S20" i="12"/>
  <c r="S9" i="11"/>
  <c r="S14" i="10"/>
  <c r="S13" i="10"/>
  <c r="S12" i="10"/>
  <c r="S7" i="10"/>
  <c r="S10" i="10"/>
  <c r="S6" i="8"/>
  <c r="S7" i="8"/>
  <c r="S10" i="8"/>
  <c r="S9" i="8"/>
  <c r="S4" i="8"/>
  <c r="S9" i="6"/>
  <c r="S4" i="6"/>
  <c r="S4" i="5"/>
  <c r="S8" i="2"/>
  <c r="S10" i="2"/>
  <c r="S7" i="2"/>
  <c r="S9" i="2"/>
  <c r="S18" i="1"/>
  <c r="S17" i="1"/>
  <c r="S19" i="1"/>
  <c r="S14" i="1"/>
  <c r="S13" i="1"/>
  <c r="S11" i="1"/>
  <c r="S12" i="1"/>
  <c r="S15" i="1"/>
  <c r="S16" i="1"/>
  <c r="S7" i="11" l="1"/>
  <c r="S5" i="11"/>
  <c r="S4" i="11"/>
  <c r="S12" i="12"/>
  <c r="S15" i="12"/>
  <c r="S18" i="12"/>
  <c r="S8" i="12"/>
  <c r="S10" i="11"/>
  <c r="S5" i="9"/>
  <c r="S9" i="9"/>
  <c r="S3" i="7"/>
  <c r="S3" i="6"/>
  <c r="S3" i="3"/>
  <c r="S5" i="2"/>
  <c r="S6" i="2"/>
</calcChain>
</file>

<file path=xl/sharedStrings.xml><?xml version="1.0" encoding="utf-8"?>
<sst xmlns="http://schemas.openxmlformats.org/spreadsheetml/2006/main" count="747" uniqueCount="185">
  <si>
    <t>hely</t>
  </si>
  <si>
    <t>név</t>
  </si>
  <si>
    <t>klub</t>
  </si>
  <si>
    <t>Össz pont</t>
  </si>
  <si>
    <t>1.</t>
  </si>
  <si>
    <t>MSE</t>
  </si>
  <si>
    <t>2.</t>
  </si>
  <si>
    <t>SAS</t>
  </si>
  <si>
    <t>3.</t>
  </si>
  <si>
    <t>Bedő Csaba</t>
  </si>
  <si>
    <t>BSC/VKE-Nelson</t>
  </si>
  <si>
    <t>4.</t>
  </si>
  <si>
    <t>"</t>
  </si>
  <si>
    <t>5.</t>
  </si>
  <si>
    <t>KFK</t>
  </si>
  <si>
    <t>6.</t>
  </si>
  <si>
    <t>Tamás Tibor</t>
  </si>
  <si>
    <t>DTC/Freeriderz SC</t>
  </si>
  <si>
    <t>7.</t>
  </si>
  <si>
    <t>DTC</t>
  </si>
  <si>
    <t>8.</t>
  </si>
  <si>
    <t>Domán Rajmund</t>
  </si>
  <si>
    <t>THT</t>
  </si>
  <si>
    <t>9.</t>
  </si>
  <si>
    <t>Fekete Ágoston</t>
  </si>
  <si>
    <t>ZTC</t>
  </si>
  <si>
    <t>10.</t>
  </si>
  <si>
    <t>11.</t>
  </si>
  <si>
    <t>Viraszkó Zoltán</t>
  </si>
  <si>
    <t>12.</t>
  </si>
  <si>
    <t>Máthé Tamás</t>
  </si>
  <si>
    <t>13.</t>
  </si>
  <si>
    <t>14.</t>
  </si>
  <si>
    <t>15.</t>
  </si>
  <si>
    <t>16.</t>
  </si>
  <si>
    <t>17.</t>
  </si>
  <si>
    <t>Kieső pontok</t>
  </si>
  <si>
    <t>" részt vett a versenyen de vagy hibapontos, vagy már negatív pontszáma van</t>
  </si>
  <si>
    <t>Füzy Anna</t>
  </si>
  <si>
    <t>OSC</t>
  </si>
  <si>
    <t>Pénzes Erzsébet</t>
  </si>
  <si>
    <t>Kinde Vanda</t>
  </si>
  <si>
    <t>SPA</t>
  </si>
  <si>
    <t>Benke Noémi</t>
  </si>
  <si>
    <t>Tamás Bianka</t>
  </si>
  <si>
    <t>Marosffy Orsolya</t>
  </si>
  <si>
    <t>Jordán Soma</t>
  </si>
  <si>
    <t>Horváth Adrienn</t>
  </si>
  <si>
    <t>MAF</t>
  </si>
  <si>
    <t>Vajda-Kovács Ágnes</t>
  </si>
  <si>
    <t>Vajda Péter</t>
  </si>
  <si>
    <t>Kárpáti Gábor</t>
  </si>
  <si>
    <t>Kinde Kálmán</t>
  </si>
  <si>
    <t>Lindenberger Béla</t>
  </si>
  <si>
    <t>EK</t>
  </si>
  <si>
    <t>Hidas Zoltán</t>
  </si>
  <si>
    <t>TTE</t>
  </si>
  <si>
    <t>Molnár Attila</t>
  </si>
  <si>
    <t>Zoboki Mihály</t>
  </si>
  <si>
    <t xml:space="preserve">Dankó István </t>
  </si>
  <si>
    <t>Jankó Tamás</t>
  </si>
  <si>
    <t>HSE</t>
  </si>
  <si>
    <t>Mets Miklós</t>
  </si>
  <si>
    <t>Domán Gábor</t>
  </si>
  <si>
    <t>Dosek Ágoston</t>
  </si>
  <si>
    <t>Bunyik László</t>
  </si>
  <si>
    <t>MEA</t>
  </si>
  <si>
    <t>Hidas Sándor</t>
  </si>
  <si>
    <t>18.</t>
  </si>
  <si>
    <t>Magyar Kupa 2016</t>
  </si>
  <si>
    <t>Magyar kupa normáltáv Dunaszentmiklós 04.09.</t>
  </si>
  <si>
    <t>Magyar Pontbegyűjtő Bajnokság Tata 04.10</t>
  </si>
  <si>
    <t>Köllőd Róbert</t>
  </si>
  <si>
    <t>Gyöngyösi Kevin</t>
  </si>
  <si>
    <t>KSI Csepel SE</t>
  </si>
  <si>
    <t>Alpár Domonkos</t>
  </si>
  <si>
    <t>Kiss Bertalan András</t>
  </si>
  <si>
    <t>SZT</t>
  </si>
  <si>
    <t>Hidas-Mészáros Eszter</t>
  </si>
  <si>
    <t>Osztrák-Magyar kupa sprint Blumau 04.30.</t>
  </si>
  <si>
    <t>Osztrák-Magyar kupa hosszútáv Katzeldorf 05.01.</t>
  </si>
  <si>
    <t>Rózsa László</t>
  </si>
  <si>
    <t>Allwinger Herwig</t>
  </si>
  <si>
    <t>Mesics Péter</t>
  </si>
  <si>
    <t>SMA</t>
  </si>
  <si>
    <t>Horváth Pál</t>
  </si>
  <si>
    <t>Molnár Tibor</t>
  </si>
  <si>
    <t>Boros Zoltán</t>
  </si>
  <si>
    <t>Tömördi Ágnes</t>
  </si>
  <si>
    <t>Mesics Mátyás</t>
  </si>
  <si>
    <t>Szabó Tamás</t>
  </si>
  <si>
    <t>Tóth Zoltán</t>
  </si>
  <si>
    <t>Török Lavinia</t>
  </si>
  <si>
    <t>Resch Judit</t>
  </si>
  <si>
    <t>Hidegkút kupa hosszútáv         Hidegkút 07.04.</t>
  </si>
  <si>
    <t>Hidegkút kupa középtáv         Hidegkút 07.03.</t>
  </si>
  <si>
    <t>Beöthy Ádám</t>
  </si>
  <si>
    <t>Molnár Botond</t>
  </si>
  <si>
    <t>Magyar Pontbegyűjtő Bajnokság        Tata 04.10</t>
  </si>
  <si>
    <t>Osztrák-Magyar kupa sprint         Blumau 04.30.</t>
  </si>
  <si>
    <t>Fekete Sámuel</t>
  </si>
  <si>
    <t>Osztrák-Magyar kupa sprint       Blumau 04.30.</t>
  </si>
  <si>
    <t>Csordás Kornél</t>
  </si>
  <si>
    <t>REHAB</t>
  </si>
  <si>
    <t>Marosffy Dániel</t>
  </si>
  <si>
    <t>Bobok Gábor</t>
  </si>
  <si>
    <t>Nagy András</t>
  </si>
  <si>
    <t>Dankó Zoltán</t>
  </si>
  <si>
    <t>Kiss Gábor</t>
  </si>
  <si>
    <t>Balázs Ottó</t>
  </si>
  <si>
    <t>Osztrák-Magyar kupa sprint      Blumau 04.30.</t>
  </si>
  <si>
    <t>Krasznai Orsolya</t>
  </si>
  <si>
    <t>Tóth Gergely</t>
  </si>
  <si>
    <t>Magyar Rövidtávú Bajnokság Felsőörs 08.20</t>
  </si>
  <si>
    <t>Pannon középtáv                       Felsőörs 08.21</t>
  </si>
  <si>
    <t>Kirilla Péter</t>
  </si>
  <si>
    <t>Szundi Attila</t>
  </si>
  <si>
    <t>Vajda Zsolt</t>
  </si>
  <si>
    <t>Baumann Viola</t>
  </si>
  <si>
    <t>Gárdonyi Soma</t>
  </si>
  <si>
    <t>MOM</t>
  </si>
  <si>
    <t>Sarkadi Lehel</t>
  </si>
  <si>
    <t>Szandi Bence</t>
  </si>
  <si>
    <t>Magyar Rövidtávú Bajnokság      Felsőörs 08.20</t>
  </si>
  <si>
    <t>Zoboki Péter</t>
  </si>
  <si>
    <t>Kovács Eszter</t>
  </si>
  <si>
    <t>VKE Nelson</t>
  </si>
  <si>
    <t>Lancsár Roland</t>
  </si>
  <si>
    <t>Szabó Gábor</t>
  </si>
  <si>
    <t>Szandi Péter</t>
  </si>
  <si>
    <t>Kovács Zoltán</t>
  </si>
  <si>
    <t>Szabó Csaba</t>
  </si>
  <si>
    <t>Eberle Wolf</t>
  </si>
  <si>
    <t>Kiss Zoltán</t>
  </si>
  <si>
    <t>Sarkadi Borbála</t>
  </si>
  <si>
    <t>Koczka Gabriella</t>
  </si>
  <si>
    <t>Allwinger Tünde</t>
  </si>
  <si>
    <t>Tüdős Éva</t>
  </si>
  <si>
    <t>Tamás Bence</t>
  </si>
  <si>
    <t>Mörk Péter</t>
  </si>
  <si>
    <t>MAT</t>
  </si>
  <si>
    <t>Holluby András</t>
  </si>
  <si>
    <t>PSE</t>
  </si>
  <si>
    <t>Kócos TSE</t>
  </si>
  <si>
    <t>Cesky Pohár középtáv                       Sternberk 08.26</t>
  </si>
  <si>
    <t>Cesky Pohár sprint                       Sternberk 08.27</t>
  </si>
  <si>
    <t>Cesky Pohár hosszú táv                       Sternberk 08.28</t>
  </si>
  <si>
    <t>Szabóné Erös Gabriella</t>
  </si>
  <si>
    <t>II. Vasgyár Kupa középtáv                       Miskolc 09.03</t>
  </si>
  <si>
    <t>Magyar Hosszútávú Bajnokság                       Miskolc 09.04</t>
  </si>
  <si>
    <t>Nyeste Ákos</t>
  </si>
  <si>
    <t>Dr. Cseh Veronika</t>
  </si>
  <si>
    <t>Tőczik Vendel</t>
  </si>
  <si>
    <t>Komjáthi Levente</t>
  </si>
  <si>
    <t>Koleszár Martin</t>
  </si>
  <si>
    <t>Kinde Merse Márk</t>
  </si>
  <si>
    <t>Kiss László</t>
  </si>
  <si>
    <t>19.</t>
  </si>
  <si>
    <t>Tóbis Anita</t>
  </si>
  <si>
    <t>Varga Ildikó</t>
  </si>
  <si>
    <t>Karczag Krisztina</t>
  </si>
  <si>
    <t>Karczag Katinka</t>
  </si>
  <si>
    <t>Kinde Zsófia</t>
  </si>
  <si>
    <t>HSP</t>
  </si>
  <si>
    <t>Váradi Szilvia</t>
  </si>
  <si>
    <t>Demeter Ágoston</t>
  </si>
  <si>
    <t>Leleszi Marcell</t>
  </si>
  <si>
    <t>Komjáthi Ádám</t>
  </si>
  <si>
    <t>Demeter Ambrus</t>
  </si>
  <si>
    <t>Várady Szilvia</t>
  </si>
  <si>
    <t>Maccabi kupa középtáv             Szank 09.24</t>
  </si>
  <si>
    <t>Magyar Középtávú Bajnokság Szank 09.25</t>
  </si>
  <si>
    <t>Magyar Középtávú Bajnokság     Szank 09.25</t>
  </si>
  <si>
    <t>Szász Botond</t>
  </si>
  <si>
    <t>Marosffy Bálint</t>
  </si>
  <si>
    <t>Ember Ágoston</t>
  </si>
  <si>
    <t>Mecsek Maraton T.</t>
  </si>
  <si>
    <t>Szász János</t>
  </si>
  <si>
    <t>Kármán Katalin</t>
  </si>
  <si>
    <t>Ebinger Mónika</t>
  </si>
  <si>
    <t>Németh Ágnes</t>
  </si>
  <si>
    <t>Mesics Botond</t>
  </si>
  <si>
    <t>Pap László</t>
  </si>
  <si>
    <t>Kardos Ferenc</t>
  </si>
  <si>
    <t>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</si>
</sst>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38"/>
      <scheme val="minor"/>
    </font>
    <font>
      <b/>
      <sz val="26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trike/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0" borderId="4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/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textRotation="180" wrapText="1"/>
    </xf>
    <xf numFmtId="0" fontId="2" fillId="0" borderId="9" xfId="0" applyFont="1" applyFill="1" applyBorder="1" applyAlignment="1">
      <alignment horizontal="center" vertical="center" textRotation="180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textRotation="180" wrapText="1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11" xfId="0" applyFont="1" applyFill="1" applyBorder="1"/>
    <xf numFmtId="0" fontId="0" fillId="0" borderId="12" xfId="0" applyFill="1" applyBorder="1"/>
    <xf numFmtId="0" fontId="0" fillId="0" borderId="13" xfId="0" applyFill="1" applyBorder="1"/>
    <xf numFmtId="2" fontId="0" fillId="0" borderId="14" xfId="0" applyNumberFormat="1" applyFill="1" applyBorder="1"/>
    <xf numFmtId="2" fontId="0" fillId="0" borderId="15" xfId="0" applyNumberFormat="1" applyFill="1" applyBorder="1"/>
    <xf numFmtId="2" fontId="0" fillId="0" borderId="10" xfId="0" applyNumberFormat="1" applyFill="1" applyBorder="1"/>
    <xf numFmtId="2" fontId="0" fillId="0" borderId="16" xfId="0" applyNumberFormat="1" applyFill="1" applyBorder="1"/>
    <xf numFmtId="2" fontId="3" fillId="0" borderId="11" xfId="0" applyNumberFormat="1" applyFont="1" applyFill="1" applyBorder="1"/>
    <xf numFmtId="0" fontId="0" fillId="0" borderId="10" xfId="0" applyFill="1" applyBorder="1"/>
    <xf numFmtId="0" fontId="3" fillId="0" borderId="17" xfId="0" applyFont="1" applyFill="1" applyBorder="1"/>
    <xf numFmtId="0" fontId="0" fillId="0" borderId="18" xfId="0" applyFill="1" applyBorder="1"/>
    <xf numFmtId="0" fontId="0" fillId="0" borderId="19" xfId="0" applyFill="1" applyBorder="1"/>
    <xf numFmtId="2" fontId="0" fillId="0" borderId="20" xfId="0" applyNumberFormat="1" applyFill="1" applyBorder="1"/>
    <xf numFmtId="2" fontId="3" fillId="0" borderId="17" xfId="0" applyNumberFormat="1" applyFont="1" applyFill="1" applyBorder="1"/>
    <xf numFmtId="2" fontId="0" fillId="0" borderId="21" xfId="0" applyNumberFormat="1" applyFill="1" applyBorder="1"/>
    <xf numFmtId="2" fontId="5" fillId="0" borderId="16" xfId="0" applyNumberFormat="1" applyFont="1" applyFill="1" applyBorder="1"/>
    <xf numFmtId="2" fontId="0" fillId="0" borderId="22" xfId="0" applyNumberFormat="1" applyFill="1" applyBorder="1"/>
    <xf numFmtId="0" fontId="3" fillId="0" borderId="16" xfId="0" applyFont="1" applyFill="1" applyBorder="1" applyAlignment="1">
      <alignment horizontal="right"/>
    </xf>
    <xf numFmtId="2" fontId="0" fillId="0" borderId="18" xfId="0" applyNumberFormat="1" applyFill="1" applyBorder="1"/>
    <xf numFmtId="0" fontId="0" fillId="0" borderId="24" xfId="0" applyFill="1" applyBorder="1"/>
    <xf numFmtId="0" fontId="0" fillId="0" borderId="16" xfId="0" applyFill="1" applyBorder="1"/>
    <xf numFmtId="2" fontId="5" fillId="0" borderId="10" xfId="0" applyNumberFormat="1" applyFont="1" applyFill="1" applyBorder="1"/>
    <xf numFmtId="0" fontId="0" fillId="0" borderId="26" xfId="0" applyFill="1" applyBorder="1"/>
    <xf numFmtId="2" fontId="0" fillId="0" borderId="26" xfId="0" applyNumberFormat="1" applyFill="1" applyBorder="1"/>
    <xf numFmtId="0" fontId="3" fillId="0" borderId="10" xfId="0" applyFont="1" applyFill="1" applyBorder="1" applyAlignment="1">
      <alignment horizontal="right"/>
    </xf>
    <xf numFmtId="0" fontId="5" fillId="0" borderId="10" xfId="0" applyFont="1" applyFill="1" applyBorder="1"/>
    <xf numFmtId="0" fontId="3" fillId="0" borderId="27" xfId="0" applyFont="1" applyFill="1" applyBorder="1"/>
    <xf numFmtId="0" fontId="0" fillId="0" borderId="28" xfId="0" applyFill="1" applyBorder="1"/>
    <xf numFmtId="0" fontId="0" fillId="0" borderId="29" xfId="0" applyFill="1" applyBorder="1"/>
    <xf numFmtId="2" fontId="0" fillId="0" borderId="30" xfId="0" applyNumberFormat="1" applyFill="1" applyBorder="1"/>
    <xf numFmtId="2" fontId="0" fillId="0" borderId="31" xfId="0" applyNumberFormat="1" applyFill="1" applyBorder="1"/>
    <xf numFmtId="2" fontId="5" fillId="0" borderId="31" xfId="0" applyNumberFormat="1" applyFont="1" applyFill="1" applyBorder="1"/>
    <xf numFmtId="0" fontId="3" fillId="0" borderId="31" xfId="0" applyFont="1" applyFill="1" applyBorder="1" applyAlignment="1">
      <alignment horizontal="right"/>
    </xf>
    <xf numFmtId="2" fontId="0" fillId="0" borderId="32" xfId="0" applyNumberFormat="1" applyFill="1" applyBorder="1"/>
    <xf numFmtId="2" fontId="3" fillId="0" borderId="27" xfId="0" applyNumberFormat="1" applyFont="1" applyFill="1" applyBorder="1"/>
    <xf numFmtId="2" fontId="0" fillId="0" borderId="0" xfId="0" applyNumberFormat="1" applyFill="1" applyBorder="1"/>
    <xf numFmtId="2" fontId="5" fillId="0" borderId="0" xfId="0" applyNumberFormat="1" applyFont="1" applyFill="1" applyBorder="1"/>
    <xf numFmtId="2" fontId="0" fillId="0" borderId="0" xfId="0" applyNumberFormat="1" applyFill="1" applyBorder="1" applyAlignment="1">
      <alignment horizontal="right"/>
    </xf>
    <xf numFmtId="2" fontId="3" fillId="0" borderId="0" xfId="0" applyNumberFormat="1" applyFont="1" applyFill="1" applyBorder="1"/>
    <xf numFmtId="0" fontId="5" fillId="0" borderId="0" xfId="0" applyFont="1" applyFill="1" applyBorder="1"/>
    <xf numFmtId="0" fontId="3" fillId="2" borderId="0" xfId="0" applyFont="1" applyFill="1" applyBorder="1" applyAlignment="1"/>
    <xf numFmtId="0" fontId="3" fillId="0" borderId="0" xfId="0" applyFont="1" applyFill="1" applyBorder="1" applyAlignment="1"/>
    <xf numFmtId="0" fontId="5" fillId="0" borderId="0" xfId="0" applyFont="1" applyFill="1"/>
    <xf numFmtId="0" fontId="0" fillId="0" borderId="15" xfId="0" applyFill="1" applyBorder="1"/>
    <xf numFmtId="0" fontId="0" fillId="0" borderId="20" xfId="0" applyFill="1" applyBorder="1"/>
    <xf numFmtId="0" fontId="0" fillId="0" borderId="23" xfId="0" applyFill="1" applyBorder="1"/>
    <xf numFmtId="0" fontId="3" fillId="0" borderId="20" xfId="0" applyFont="1" applyFill="1" applyBorder="1" applyAlignment="1">
      <alignment horizontal="right"/>
    </xf>
    <xf numFmtId="0" fontId="0" fillId="0" borderId="30" xfId="0" applyFill="1" applyBorder="1"/>
    <xf numFmtId="0" fontId="0" fillId="0" borderId="31" xfId="0" applyFill="1" applyBorder="1"/>
    <xf numFmtId="2" fontId="5" fillId="0" borderId="0" xfId="0" applyNumberFormat="1" applyFont="1" applyFill="1" applyBorder="1" applyAlignment="1">
      <alignment horizontal="right"/>
    </xf>
    <xf numFmtId="0" fontId="0" fillId="0" borderId="33" xfId="0" applyFill="1" applyBorder="1"/>
    <xf numFmtId="0" fontId="0" fillId="0" borderId="4" xfId="0" applyFill="1" applyBorder="1"/>
    <xf numFmtId="2" fontId="0" fillId="0" borderId="4" xfId="0" applyNumberFormat="1" applyFill="1" applyBorder="1"/>
    <xf numFmtId="0" fontId="1" fillId="0" borderId="0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right"/>
    </xf>
    <xf numFmtId="2" fontId="0" fillId="0" borderId="35" xfId="0" applyNumberFormat="1" applyFill="1" applyBorder="1"/>
    <xf numFmtId="2" fontId="3" fillId="0" borderId="34" xfId="0" applyNumberFormat="1" applyFont="1" applyFill="1" applyBorder="1"/>
    <xf numFmtId="0" fontId="0" fillId="0" borderId="10" xfId="0" applyFill="1" applyBorder="1" applyAlignment="1">
      <alignment horizontal="center"/>
    </xf>
    <xf numFmtId="0" fontId="5" fillId="0" borderId="20" xfId="0" applyFont="1" applyFill="1" applyBorder="1"/>
    <xf numFmtId="0" fontId="5" fillId="0" borderId="31" xfId="0" applyFont="1" applyFill="1" applyBorder="1"/>
    <xf numFmtId="0" fontId="0" fillId="0" borderId="37" xfId="0" applyFill="1" applyBorder="1"/>
    <xf numFmtId="0" fontId="0" fillId="0" borderId="0" xfId="0" applyFill="1" applyBorder="1" applyAlignment="1">
      <alignment horizontal="right"/>
    </xf>
    <xf numFmtId="2" fontId="0" fillId="0" borderId="38" xfId="0" applyNumberFormat="1" applyFill="1" applyBorder="1"/>
    <xf numFmtId="2" fontId="0" fillId="0" borderId="36" xfId="0" applyNumberFormat="1" applyFill="1" applyBorder="1"/>
    <xf numFmtId="0" fontId="0" fillId="0" borderId="22" xfId="0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39" xfId="0" applyFont="1" applyFill="1" applyBorder="1"/>
    <xf numFmtId="0" fontId="3" fillId="0" borderId="15" xfId="0" applyFont="1" applyFill="1" applyBorder="1" applyAlignment="1">
      <alignment horizontal="right"/>
    </xf>
    <xf numFmtId="0" fontId="2" fillId="0" borderId="1" xfId="0" applyFont="1" applyFill="1" applyBorder="1" applyAlignment="1">
      <alignment vertical="center" wrapText="1"/>
    </xf>
    <xf numFmtId="0" fontId="3" fillId="0" borderId="21" xfId="0" applyFont="1" applyFill="1" applyBorder="1"/>
    <xf numFmtId="0" fontId="3" fillId="0" borderId="40" xfId="0" applyFont="1" applyFill="1" applyBorder="1"/>
    <xf numFmtId="0" fontId="0" fillId="0" borderId="0" xfId="0" applyFont="1" applyFill="1" applyBorder="1"/>
    <xf numFmtId="2" fontId="0" fillId="0" borderId="12" xfId="0" applyNumberFormat="1" applyFill="1" applyBorder="1"/>
    <xf numFmtId="0" fontId="0" fillId="0" borderId="41" xfId="0" applyFill="1" applyBorder="1"/>
    <xf numFmtId="0" fontId="0" fillId="0" borderId="42" xfId="0" applyFill="1" applyBorder="1"/>
    <xf numFmtId="2" fontId="0" fillId="0" borderId="41" xfId="0" applyNumberFormat="1" applyFill="1" applyBorder="1"/>
    <xf numFmtId="2" fontId="0" fillId="0" borderId="43" xfId="0" applyNumberFormat="1" applyFill="1" applyBorder="1"/>
    <xf numFmtId="2" fontId="5" fillId="0" borderId="32" xfId="0" applyNumberFormat="1" applyFont="1" applyFill="1" applyBorder="1"/>
    <xf numFmtId="0" fontId="3" fillId="0" borderId="14" xfId="0" applyFont="1" applyFill="1" applyBorder="1" applyAlignment="1">
      <alignment horizontal="right"/>
    </xf>
    <xf numFmtId="2" fontId="3" fillId="0" borderId="44" xfId="0" applyNumberFormat="1" applyFont="1" applyFill="1" applyBorder="1"/>
    <xf numFmtId="2" fontId="0" fillId="0" borderId="20" xfId="0" applyNumberFormat="1" applyFill="1" applyBorder="1" applyAlignment="1">
      <alignment horizontal="center"/>
    </xf>
    <xf numFmtId="2" fontId="5" fillId="0" borderId="20" xfId="0" applyNumberFormat="1" applyFont="1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2" fontId="0" fillId="0" borderId="23" xfId="0" applyNumberFormat="1" applyFill="1" applyBorder="1"/>
    <xf numFmtId="0" fontId="0" fillId="0" borderId="48" xfId="0" applyFill="1" applyBorder="1"/>
    <xf numFmtId="0" fontId="0" fillId="0" borderId="49" xfId="0" applyFill="1" applyBorder="1"/>
    <xf numFmtId="0" fontId="0" fillId="0" borderId="50" xfId="0" applyFill="1" applyBorder="1"/>
    <xf numFmtId="2" fontId="0" fillId="0" borderId="36" xfId="0" applyNumberFormat="1" applyFill="1" applyBorder="1" applyAlignment="1">
      <alignment horizontal="center"/>
    </xf>
    <xf numFmtId="0" fontId="0" fillId="0" borderId="32" xfId="0" applyFill="1" applyBorder="1"/>
    <xf numFmtId="0" fontId="0" fillId="0" borderId="2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3" fillId="0" borderId="51" xfId="0" applyNumberFormat="1" applyFont="1" applyFill="1" applyBorder="1"/>
    <xf numFmtId="0" fontId="3" fillId="0" borderId="1" xfId="0" applyFont="1" applyFill="1" applyBorder="1"/>
    <xf numFmtId="0" fontId="0" fillId="0" borderId="6" xfId="0" applyFill="1" applyBorder="1"/>
    <xf numFmtId="0" fontId="0" fillId="0" borderId="7" xfId="0" applyFill="1" applyBorder="1"/>
    <xf numFmtId="0" fontId="3" fillId="0" borderId="9" xfId="0" applyFont="1" applyFill="1" applyBorder="1" applyAlignment="1">
      <alignment horizontal="right"/>
    </xf>
    <xf numFmtId="2" fontId="0" fillId="0" borderId="9" xfId="0" applyNumberFormat="1" applyFill="1" applyBorder="1"/>
    <xf numFmtId="0" fontId="0" fillId="0" borderId="9" xfId="0" applyFill="1" applyBorder="1"/>
    <xf numFmtId="0" fontId="0" fillId="0" borderId="9" xfId="0" applyFont="1" applyFill="1" applyBorder="1"/>
    <xf numFmtId="2" fontId="3" fillId="0" borderId="5" xfId="0" applyNumberFormat="1" applyFont="1" applyFill="1" applyBorder="1"/>
    <xf numFmtId="0" fontId="0" fillId="0" borderId="52" xfId="0" applyFill="1" applyBorder="1"/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5" fillId="0" borderId="16" xfId="0" applyFont="1" applyFill="1" applyBorder="1"/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3" fillId="0" borderId="53" xfId="0" applyFont="1" applyFill="1" applyBorder="1"/>
    <xf numFmtId="0" fontId="3" fillId="0" borderId="54" xfId="0" applyFont="1" applyFill="1" applyBorder="1"/>
    <xf numFmtId="2" fontId="0" fillId="0" borderId="52" xfId="0" applyNumberFormat="1" applyFill="1" applyBorder="1"/>
    <xf numFmtId="164" fontId="0" fillId="0" borderId="16" xfId="0" applyNumberFormat="1" applyFill="1" applyBorder="1" applyAlignment="1">
      <alignment horizontal="center"/>
    </xf>
    <xf numFmtId="164" fontId="0" fillId="0" borderId="31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3" fillId="0" borderId="30" xfId="0" applyFont="1" applyFill="1" applyBorder="1" applyAlignment="1">
      <alignment horizontal="right"/>
    </xf>
    <xf numFmtId="2" fontId="0" fillId="3" borderId="20" xfId="0" applyNumberFormat="1" applyFill="1" applyBorder="1"/>
    <xf numFmtId="2" fontId="0" fillId="3" borderId="16" xfId="0" applyNumberFormat="1" applyFill="1" applyBorder="1"/>
    <xf numFmtId="2" fontId="0" fillId="3" borderId="10" xfId="0" applyNumberFormat="1" applyFill="1" applyBorder="1"/>
    <xf numFmtId="2" fontId="0" fillId="3" borderId="22" xfId="0" applyNumberFormat="1" applyFill="1" applyBorder="1"/>
    <xf numFmtId="2" fontId="0" fillId="0" borderId="52" xfId="0" applyNumberFormat="1" applyFill="1" applyBorder="1" applyAlignment="1">
      <alignment horizontal="center"/>
    </xf>
    <xf numFmtId="2" fontId="5" fillId="0" borderId="15" xfId="0" applyNumberFormat="1" applyFont="1" applyFill="1" applyBorder="1"/>
    <xf numFmtId="2" fontId="0" fillId="3" borderId="15" xfId="0" applyNumberFormat="1" applyFill="1" applyBorder="1"/>
    <xf numFmtId="2" fontId="3" fillId="0" borderId="55" xfId="0" applyNumberFormat="1" applyFont="1" applyFill="1" applyBorder="1"/>
    <xf numFmtId="0" fontId="5" fillId="0" borderId="12" xfId="0" applyFont="1" applyFill="1" applyBorder="1"/>
    <xf numFmtId="0" fontId="5" fillId="0" borderId="18" xfId="0" applyFont="1" applyFill="1" applyBorder="1"/>
    <xf numFmtId="0" fontId="5" fillId="0" borderId="28" xfId="0" applyFont="1" applyFill="1" applyBorder="1"/>
    <xf numFmtId="0" fontId="3" fillId="0" borderId="18" xfId="0" applyFont="1" applyFill="1" applyBorder="1" applyAlignment="1">
      <alignment horizontal="right"/>
    </xf>
    <xf numFmtId="2" fontId="0" fillId="3" borderId="52" xfId="0" applyNumberFormat="1" applyFill="1" applyBorder="1"/>
    <xf numFmtId="2" fontId="0" fillId="0" borderId="28" xfId="0" applyNumberFormat="1" applyFill="1" applyBorder="1"/>
    <xf numFmtId="2" fontId="0" fillId="0" borderId="28" xfId="0" applyNumberForma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0" fontId="3" fillId="0" borderId="56" xfId="0" applyFont="1" applyFill="1" applyBorder="1"/>
    <xf numFmtId="0" fontId="3" fillId="0" borderId="57" xfId="0" applyFont="1" applyFill="1" applyBorder="1"/>
    <xf numFmtId="2" fontId="0" fillId="0" borderId="45" xfId="0" applyNumberFormat="1" applyFill="1" applyBorder="1"/>
    <xf numFmtId="0" fontId="5" fillId="0" borderId="23" xfId="0" applyFont="1" applyFill="1" applyBorder="1"/>
    <xf numFmtId="164" fontId="0" fillId="0" borderId="23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58" xfId="0" applyNumberFormat="1" applyFill="1" applyBorder="1"/>
    <xf numFmtId="2" fontId="0" fillId="0" borderId="13" xfId="0" applyNumberFormat="1" applyFill="1" applyBorder="1"/>
    <xf numFmtId="2" fontId="0" fillId="0" borderId="19" xfId="0" applyNumberFormat="1" applyFill="1" applyBorder="1"/>
    <xf numFmtId="2" fontId="0" fillId="0" borderId="29" xfId="0" applyNumberFormat="1" applyFill="1" applyBorder="1"/>
    <xf numFmtId="2" fontId="0" fillId="0" borderId="15" xfId="0" applyNumberFormat="1" applyFill="1" applyBorder="1" applyAlignment="1">
      <alignment horizontal="center"/>
    </xf>
    <xf numFmtId="2" fontId="0" fillId="0" borderId="24" xfId="0" applyNumberFormat="1" applyFill="1" applyBorder="1"/>
    <xf numFmtId="2" fontId="0" fillId="0" borderId="42" xfId="0" applyNumberFormat="1" applyFill="1" applyBorder="1"/>
    <xf numFmtId="2" fontId="0" fillId="0" borderId="59" xfId="0" applyNumberFormat="1" applyFill="1" applyBorder="1"/>
    <xf numFmtId="2" fontId="5" fillId="0" borderId="25" xfId="0" applyNumberFormat="1" applyFont="1" applyFill="1" applyBorder="1"/>
    <xf numFmtId="2" fontId="5" fillId="0" borderId="23" xfId="0" applyNumberFormat="1" applyFont="1" applyFill="1" applyBorder="1"/>
    <xf numFmtId="2" fontId="4" fillId="0" borderId="10" xfId="0" applyNumberFormat="1" applyFont="1" applyFill="1" applyBorder="1"/>
    <xf numFmtId="0" fontId="0" fillId="0" borderId="22" xfId="0" applyFill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2" fontId="5" fillId="0" borderId="26" xfId="0" applyNumberFormat="1" applyFont="1" applyFill="1" applyBorder="1"/>
    <xf numFmtId="0" fontId="3" fillId="0" borderId="32" xfId="0" applyFont="1" applyFill="1" applyBorder="1" applyAlignment="1">
      <alignment horizontal="right"/>
    </xf>
    <xf numFmtId="2" fontId="0" fillId="3" borderId="16" xfId="0" applyNumberFormat="1" applyFill="1" applyBorder="1" applyAlignment="1">
      <alignment horizontal="center"/>
    </xf>
    <xf numFmtId="2" fontId="0" fillId="3" borderId="12" xfId="0" applyNumberFormat="1" applyFill="1" applyBorder="1"/>
    <xf numFmtId="0" fontId="5" fillId="0" borderId="22" xfId="0" applyFont="1" applyFill="1" applyBorder="1"/>
    <xf numFmtId="2" fontId="0" fillId="3" borderId="26" xfId="0" applyNumberFormat="1" applyFill="1" applyBorder="1"/>
    <xf numFmtId="2" fontId="0" fillId="3" borderId="13" xfId="0" applyNumberFormat="1" applyFill="1" applyBorder="1"/>
    <xf numFmtId="2" fontId="0" fillId="3" borderId="24" xfId="0" applyNumberFormat="1" applyFill="1" applyBorder="1"/>
    <xf numFmtId="0" fontId="0" fillId="0" borderId="10" xfId="0" applyFont="1" applyFill="1" applyBorder="1"/>
    <xf numFmtId="2" fontId="0" fillId="0" borderId="42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2" fontId="0" fillId="0" borderId="30" xfId="0" applyNumberFormat="1" applyFont="1" applyFill="1" applyBorder="1"/>
    <xf numFmtId="2" fontId="0" fillId="0" borderId="31" xfId="0" applyNumberFormat="1" applyFill="1" applyBorder="1" applyAlignment="1">
      <alignment horizontal="right"/>
    </xf>
    <xf numFmtId="0" fontId="3" fillId="0" borderId="5" xfId="0" applyFont="1" applyFill="1" applyBorder="1"/>
    <xf numFmtId="2" fontId="0" fillId="0" borderId="8" xfId="0" applyNumberFormat="1" applyFill="1" applyBorder="1"/>
    <xf numFmtId="0" fontId="3" fillId="0" borderId="8" xfId="0" applyFont="1" applyFill="1" applyBorder="1" applyAlignment="1">
      <alignment horizontal="right"/>
    </xf>
    <xf numFmtId="2" fontId="5" fillId="0" borderId="59" xfId="0" applyNumberFormat="1" applyFont="1" applyFill="1" applyBorder="1"/>
    <xf numFmtId="0" fontId="0" fillId="0" borderId="58" xfId="0" applyFill="1" applyBorder="1" applyAlignment="1">
      <alignment horizontal="center"/>
    </xf>
    <xf numFmtId="2" fontId="0" fillId="0" borderId="40" xfId="0" applyNumberForma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"/>
  <sheetViews>
    <sheetView tabSelected="1" workbookViewId="0">
      <selection activeCell="U13" sqref="U13"/>
    </sheetView>
  </sheetViews>
  <sheetFormatPr defaultColWidth="9" defaultRowHeight="15" x14ac:dyDescent="0.25"/>
  <cols>
    <col min="1" max="1" width="5.28515625" style="3" customWidth="1"/>
    <col min="2" max="2" width="16.28515625" style="3" customWidth="1"/>
    <col min="3" max="3" width="17.85546875" style="3" customWidth="1"/>
    <col min="4" max="5" width="9.140625" style="3" customWidth="1"/>
    <col min="6" max="6" width="9.140625" style="55" customWidth="1"/>
    <col min="7" max="19" width="9.140625" style="3" customWidth="1"/>
    <col min="20" max="34" width="9" style="2"/>
    <col min="35" max="255" width="9" style="3"/>
    <col min="256" max="256" width="5.28515625" style="3" customWidth="1"/>
    <col min="257" max="257" width="21.5703125" style="3" customWidth="1"/>
    <col min="258" max="258" width="17.85546875" style="3" customWidth="1"/>
    <col min="259" max="275" width="9.140625" style="3" customWidth="1"/>
    <col min="276" max="511" width="9" style="3"/>
    <col min="512" max="512" width="5.28515625" style="3" customWidth="1"/>
    <col min="513" max="513" width="21.5703125" style="3" customWidth="1"/>
    <col min="514" max="514" width="17.85546875" style="3" customWidth="1"/>
    <col min="515" max="531" width="9.140625" style="3" customWidth="1"/>
    <col min="532" max="767" width="9" style="3"/>
    <col min="768" max="768" width="5.28515625" style="3" customWidth="1"/>
    <col min="769" max="769" width="21.5703125" style="3" customWidth="1"/>
    <col min="770" max="770" width="17.85546875" style="3" customWidth="1"/>
    <col min="771" max="787" width="9.140625" style="3" customWidth="1"/>
    <col min="788" max="1023" width="9" style="3"/>
    <col min="1024" max="1024" width="5.28515625" style="3" customWidth="1"/>
    <col min="1025" max="1025" width="21.5703125" style="3" customWidth="1"/>
    <col min="1026" max="1026" width="17.85546875" style="3" customWidth="1"/>
    <col min="1027" max="1043" width="9.140625" style="3" customWidth="1"/>
    <col min="1044" max="1279" width="9" style="3"/>
    <col min="1280" max="1280" width="5.28515625" style="3" customWidth="1"/>
    <col min="1281" max="1281" width="21.5703125" style="3" customWidth="1"/>
    <col min="1282" max="1282" width="17.85546875" style="3" customWidth="1"/>
    <col min="1283" max="1299" width="9.140625" style="3" customWidth="1"/>
    <col min="1300" max="1535" width="9" style="3"/>
    <col min="1536" max="1536" width="5.28515625" style="3" customWidth="1"/>
    <col min="1537" max="1537" width="21.5703125" style="3" customWidth="1"/>
    <col min="1538" max="1538" width="17.85546875" style="3" customWidth="1"/>
    <col min="1539" max="1555" width="9.140625" style="3" customWidth="1"/>
    <col min="1556" max="1791" width="9" style="3"/>
    <col min="1792" max="1792" width="5.28515625" style="3" customWidth="1"/>
    <col min="1793" max="1793" width="21.5703125" style="3" customWidth="1"/>
    <col min="1794" max="1794" width="17.85546875" style="3" customWidth="1"/>
    <col min="1795" max="1811" width="9.140625" style="3" customWidth="1"/>
    <col min="1812" max="2047" width="9" style="3"/>
    <col min="2048" max="2048" width="5.28515625" style="3" customWidth="1"/>
    <col min="2049" max="2049" width="21.5703125" style="3" customWidth="1"/>
    <col min="2050" max="2050" width="17.85546875" style="3" customWidth="1"/>
    <col min="2051" max="2067" width="9.140625" style="3" customWidth="1"/>
    <col min="2068" max="2303" width="9" style="3"/>
    <col min="2304" max="2304" width="5.28515625" style="3" customWidth="1"/>
    <col min="2305" max="2305" width="21.5703125" style="3" customWidth="1"/>
    <col min="2306" max="2306" width="17.85546875" style="3" customWidth="1"/>
    <col min="2307" max="2323" width="9.140625" style="3" customWidth="1"/>
    <col min="2324" max="2559" width="9" style="3"/>
    <col min="2560" max="2560" width="5.28515625" style="3" customWidth="1"/>
    <col min="2561" max="2561" width="21.5703125" style="3" customWidth="1"/>
    <col min="2562" max="2562" width="17.85546875" style="3" customWidth="1"/>
    <col min="2563" max="2579" width="9.140625" style="3" customWidth="1"/>
    <col min="2580" max="2815" width="9" style="3"/>
    <col min="2816" max="2816" width="5.28515625" style="3" customWidth="1"/>
    <col min="2817" max="2817" width="21.5703125" style="3" customWidth="1"/>
    <col min="2818" max="2818" width="17.85546875" style="3" customWidth="1"/>
    <col min="2819" max="2835" width="9.140625" style="3" customWidth="1"/>
    <col min="2836" max="3071" width="9" style="3"/>
    <col min="3072" max="3072" width="5.28515625" style="3" customWidth="1"/>
    <col min="3073" max="3073" width="21.5703125" style="3" customWidth="1"/>
    <col min="3074" max="3074" width="17.85546875" style="3" customWidth="1"/>
    <col min="3075" max="3091" width="9.140625" style="3" customWidth="1"/>
    <col min="3092" max="3327" width="9" style="3"/>
    <col min="3328" max="3328" width="5.28515625" style="3" customWidth="1"/>
    <col min="3329" max="3329" width="21.5703125" style="3" customWidth="1"/>
    <col min="3330" max="3330" width="17.85546875" style="3" customWidth="1"/>
    <col min="3331" max="3347" width="9.140625" style="3" customWidth="1"/>
    <col min="3348" max="3583" width="9" style="3"/>
    <col min="3584" max="3584" width="5.28515625" style="3" customWidth="1"/>
    <col min="3585" max="3585" width="21.5703125" style="3" customWidth="1"/>
    <col min="3586" max="3586" width="17.85546875" style="3" customWidth="1"/>
    <col min="3587" max="3603" width="9.140625" style="3" customWidth="1"/>
    <col min="3604" max="3839" width="9" style="3"/>
    <col min="3840" max="3840" width="5.28515625" style="3" customWidth="1"/>
    <col min="3841" max="3841" width="21.5703125" style="3" customWidth="1"/>
    <col min="3842" max="3842" width="17.85546875" style="3" customWidth="1"/>
    <col min="3843" max="3859" width="9.140625" style="3" customWidth="1"/>
    <col min="3860" max="4095" width="9" style="3"/>
    <col min="4096" max="4096" width="5.28515625" style="3" customWidth="1"/>
    <col min="4097" max="4097" width="21.5703125" style="3" customWidth="1"/>
    <col min="4098" max="4098" width="17.85546875" style="3" customWidth="1"/>
    <col min="4099" max="4115" width="9.140625" style="3" customWidth="1"/>
    <col min="4116" max="4351" width="9" style="3"/>
    <col min="4352" max="4352" width="5.28515625" style="3" customWidth="1"/>
    <col min="4353" max="4353" width="21.5703125" style="3" customWidth="1"/>
    <col min="4354" max="4354" width="17.85546875" style="3" customWidth="1"/>
    <col min="4355" max="4371" width="9.140625" style="3" customWidth="1"/>
    <col min="4372" max="4607" width="9" style="3"/>
    <col min="4608" max="4608" width="5.28515625" style="3" customWidth="1"/>
    <col min="4609" max="4609" width="21.5703125" style="3" customWidth="1"/>
    <col min="4610" max="4610" width="17.85546875" style="3" customWidth="1"/>
    <col min="4611" max="4627" width="9.140625" style="3" customWidth="1"/>
    <col min="4628" max="4863" width="9" style="3"/>
    <col min="4864" max="4864" width="5.28515625" style="3" customWidth="1"/>
    <col min="4865" max="4865" width="21.5703125" style="3" customWidth="1"/>
    <col min="4866" max="4866" width="17.85546875" style="3" customWidth="1"/>
    <col min="4867" max="4883" width="9.140625" style="3" customWidth="1"/>
    <col min="4884" max="5119" width="9" style="3"/>
    <col min="5120" max="5120" width="5.28515625" style="3" customWidth="1"/>
    <col min="5121" max="5121" width="21.5703125" style="3" customWidth="1"/>
    <col min="5122" max="5122" width="17.85546875" style="3" customWidth="1"/>
    <col min="5123" max="5139" width="9.140625" style="3" customWidth="1"/>
    <col min="5140" max="5375" width="9" style="3"/>
    <col min="5376" max="5376" width="5.28515625" style="3" customWidth="1"/>
    <col min="5377" max="5377" width="21.5703125" style="3" customWidth="1"/>
    <col min="5378" max="5378" width="17.85546875" style="3" customWidth="1"/>
    <col min="5379" max="5395" width="9.140625" style="3" customWidth="1"/>
    <col min="5396" max="5631" width="9" style="3"/>
    <col min="5632" max="5632" width="5.28515625" style="3" customWidth="1"/>
    <col min="5633" max="5633" width="21.5703125" style="3" customWidth="1"/>
    <col min="5634" max="5634" width="17.85546875" style="3" customWidth="1"/>
    <col min="5635" max="5651" width="9.140625" style="3" customWidth="1"/>
    <col min="5652" max="5887" width="9" style="3"/>
    <col min="5888" max="5888" width="5.28515625" style="3" customWidth="1"/>
    <col min="5889" max="5889" width="21.5703125" style="3" customWidth="1"/>
    <col min="5890" max="5890" width="17.85546875" style="3" customWidth="1"/>
    <col min="5891" max="5907" width="9.140625" style="3" customWidth="1"/>
    <col min="5908" max="6143" width="9" style="3"/>
    <col min="6144" max="6144" width="5.28515625" style="3" customWidth="1"/>
    <col min="6145" max="6145" width="21.5703125" style="3" customWidth="1"/>
    <col min="6146" max="6146" width="17.85546875" style="3" customWidth="1"/>
    <col min="6147" max="6163" width="9.140625" style="3" customWidth="1"/>
    <col min="6164" max="6399" width="9" style="3"/>
    <col min="6400" max="6400" width="5.28515625" style="3" customWidth="1"/>
    <col min="6401" max="6401" width="21.5703125" style="3" customWidth="1"/>
    <col min="6402" max="6402" width="17.85546875" style="3" customWidth="1"/>
    <col min="6403" max="6419" width="9.140625" style="3" customWidth="1"/>
    <col min="6420" max="6655" width="9" style="3"/>
    <col min="6656" max="6656" width="5.28515625" style="3" customWidth="1"/>
    <col min="6657" max="6657" width="21.5703125" style="3" customWidth="1"/>
    <col min="6658" max="6658" width="17.85546875" style="3" customWidth="1"/>
    <col min="6659" max="6675" width="9.140625" style="3" customWidth="1"/>
    <col min="6676" max="6911" width="9" style="3"/>
    <col min="6912" max="6912" width="5.28515625" style="3" customWidth="1"/>
    <col min="6913" max="6913" width="21.5703125" style="3" customWidth="1"/>
    <col min="6914" max="6914" width="17.85546875" style="3" customWidth="1"/>
    <col min="6915" max="6931" width="9.140625" style="3" customWidth="1"/>
    <col min="6932" max="7167" width="9" style="3"/>
    <col min="7168" max="7168" width="5.28515625" style="3" customWidth="1"/>
    <col min="7169" max="7169" width="21.5703125" style="3" customWidth="1"/>
    <col min="7170" max="7170" width="17.85546875" style="3" customWidth="1"/>
    <col min="7171" max="7187" width="9.140625" style="3" customWidth="1"/>
    <col min="7188" max="7423" width="9" style="3"/>
    <col min="7424" max="7424" width="5.28515625" style="3" customWidth="1"/>
    <col min="7425" max="7425" width="21.5703125" style="3" customWidth="1"/>
    <col min="7426" max="7426" width="17.85546875" style="3" customWidth="1"/>
    <col min="7427" max="7443" width="9.140625" style="3" customWidth="1"/>
    <col min="7444" max="7679" width="9" style="3"/>
    <col min="7680" max="7680" width="5.28515625" style="3" customWidth="1"/>
    <col min="7681" max="7681" width="21.5703125" style="3" customWidth="1"/>
    <col min="7682" max="7682" width="17.85546875" style="3" customWidth="1"/>
    <col min="7683" max="7699" width="9.140625" style="3" customWidth="1"/>
    <col min="7700" max="7935" width="9" style="3"/>
    <col min="7936" max="7936" width="5.28515625" style="3" customWidth="1"/>
    <col min="7937" max="7937" width="21.5703125" style="3" customWidth="1"/>
    <col min="7938" max="7938" width="17.85546875" style="3" customWidth="1"/>
    <col min="7939" max="7955" width="9.140625" style="3" customWidth="1"/>
    <col min="7956" max="8191" width="9" style="3"/>
    <col min="8192" max="8192" width="5.28515625" style="3" customWidth="1"/>
    <col min="8193" max="8193" width="21.5703125" style="3" customWidth="1"/>
    <col min="8194" max="8194" width="17.85546875" style="3" customWidth="1"/>
    <col min="8195" max="8211" width="9.140625" style="3" customWidth="1"/>
    <col min="8212" max="8447" width="9" style="3"/>
    <col min="8448" max="8448" width="5.28515625" style="3" customWidth="1"/>
    <col min="8449" max="8449" width="21.5703125" style="3" customWidth="1"/>
    <col min="8450" max="8450" width="17.85546875" style="3" customWidth="1"/>
    <col min="8451" max="8467" width="9.140625" style="3" customWidth="1"/>
    <col min="8468" max="8703" width="9" style="3"/>
    <col min="8704" max="8704" width="5.28515625" style="3" customWidth="1"/>
    <col min="8705" max="8705" width="21.5703125" style="3" customWidth="1"/>
    <col min="8706" max="8706" width="17.85546875" style="3" customWidth="1"/>
    <col min="8707" max="8723" width="9.140625" style="3" customWidth="1"/>
    <col min="8724" max="8959" width="9" style="3"/>
    <col min="8960" max="8960" width="5.28515625" style="3" customWidth="1"/>
    <col min="8961" max="8961" width="21.5703125" style="3" customWidth="1"/>
    <col min="8962" max="8962" width="17.85546875" style="3" customWidth="1"/>
    <col min="8963" max="8979" width="9.140625" style="3" customWidth="1"/>
    <col min="8980" max="9215" width="9" style="3"/>
    <col min="9216" max="9216" width="5.28515625" style="3" customWidth="1"/>
    <col min="9217" max="9217" width="21.5703125" style="3" customWidth="1"/>
    <col min="9218" max="9218" width="17.85546875" style="3" customWidth="1"/>
    <col min="9219" max="9235" width="9.140625" style="3" customWidth="1"/>
    <col min="9236" max="9471" width="9" style="3"/>
    <col min="9472" max="9472" width="5.28515625" style="3" customWidth="1"/>
    <col min="9473" max="9473" width="21.5703125" style="3" customWidth="1"/>
    <col min="9474" max="9474" width="17.85546875" style="3" customWidth="1"/>
    <col min="9475" max="9491" width="9.140625" style="3" customWidth="1"/>
    <col min="9492" max="9727" width="9" style="3"/>
    <col min="9728" max="9728" width="5.28515625" style="3" customWidth="1"/>
    <col min="9729" max="9729" width="21.5703125" style="3" customWidth="1"/>
    <col min="9730" max="9730" width="17.85546875" style="3" customWidth="1"/>
    <col min="9731" max="9747" width="9.140625" style="3" customWidth="1"/>
    <col min="9748" max="9983" width="9" style="3"/>
    <col min="9984" max="9984" width="5.28515625" style="3" customWidth="1"/>
    <col min="9985" max="9985" width="21.5703125" style="3" customWidth="1"/>
    <col min="9986" max="9986" width="17.85546875" style="3" customWidth="1"/>
    <col min="9987" max="10003" width="9.140625" style="3" customWidth="1"/>
    <col min="10004" max="10239" width="9" style="3"/>
    <col min="10240" max="10240" width="5.28515625" style="3" customWidth="1"/>
    <col min="10241" max="10241" width="21.5703125" style="3" customWidth="1"/>
    <col min="10242" max="10242" width="17.85546875" style="3" customWidth="1"/>
    <col min="10243" max="10259" width="9.140625" style="3" customWidth="1"/>
    <col min="10260" max="10495" width="9" style="3"/>
    <col min="10496" max="10496" width="5.28515625" style="3" customWidth="1"/>
    <col min="10497" max="10497" width="21.5703125" style="3" customWidth="1"/>
    <col min="10498" max="10498" width="17.85546875" style="3" customWidth="1"/>
    <col min="10499" max="10515" width="9.140625" style="3" customWidth="1"/>
    <col min="10516" max="10751" width="9" style="3"/>
    <col min="10752" max="10752" width="5.28515625" style="3" customWidth="1"/>
    <col min="10753" max="10753" width="21.5703125" style="3" customWidth="1"/>
    <col min="10754" max="10754" width="17.85546875" style="3" customWidth="1"/>
    <col min="10755" max="10771" width="9.140625" style="3" customWidth="1"/>
    <col min="10772" max="11007" width="9" style="3"/>
    <col min="11008" max="11008" width="5.28515625" style="3" customWidth="1"/>
    <col min="11009" max="11009" width="21.5703125" style="3" customWidth="1"/>
    <col min="11010" max="11010" width="17.85546875" style="3" customWidth="1"/>
    <col min="11011" max="11027" width="9.140625" style="3" customWidth="1"/>
    <col min="11028" max="11263" width="9" style="3"/>
    <col min="11264" max="11264" width="5.28515625" style="3" customWidth="1"/>
    <col min="11265" max="11265" width="21.5703125" style="3" customWidth="1"/>
    <col min="11266" max="11266" width="17.85546875" style="3" customWidth="1"/>
    <col min="11267" max="11283" width="9.140625" style="3" customWidth="1"/>
    <col min="11284" max="11519" width="9" style="3"/>
    <col min="11520" max="11520" width="5.28515625" style="3" customWidth="1"/>
    <col min="11521" max="11521" width="21.5703125" style="3" customWidth="1"/>
    <col min="11522" max="11522" width="17.85546875" style="3" customWidth="1"/>
    <col min="11523" max="11539" width="9.140625" style="3" customWidth="1"/>
    <col min="11540" max="11775" width="9" style="3"/>
    <col min="11776" max="11776" width="5.28515625" style="3" customWidth="1"/>
    <col min="11777" max="11777" width="21.5703125" style="3" customWidth="1"/>
    <col min="11778" max="11778" width="17.85546875" style="3" customWidth="1"/>
    <col min="11779" max="11795" width="9.140625" style="3" customWidth="1"/>
    <col min="11796" max="12031" width="9" style="3"/>
    <col min="12032" max="12032" width="5.28515625" style="3" customWidth="1"/>
    <col min="12033" max="12033" width="21.5703125" style="3" customWidth="1"/>
    <col min="12034" max="12034" width="17.85546875" style="3" customWidth="1"/>
    <col min="12035" max="12051" width="9.140625" style="3" customWidth="1"/>
    <col min="12052" max="12287" width="9" style="3"/>
    <col min="12288" max="12288" width="5.28515625" style="3" customWidth="1"/>
    <col min="12289" max="12289" width="21.5703125" style="3" customWidth="1"/>
    <col min="12290" max="12290" width="17.85546875" style="3" customWidth="1"/>
    <col min="12291" max="12307" width="9.140625" style="3" customWidth="1"/>
    <col min="12308" max="12543" width="9" style="3"/>
    <col min="12544" max="12544" width="5.28515625" style="3" customWidth="1"/>
    <col min="12545" max="12545" width="21.5703125" style="3" customWidth="1"/>
    <col min="12546" max="12546" width="17.85546875" style="3" customWidth="1"/>
    <col min="12547" max="12563" width="9.140625" style="3" customWidth="1"/>
    <col min="12564" max="12799" width="9" style="3"/>
    <col min="12800" max="12800" width="5.28515625" style="3" customWidth="1"/>
    <col min="12801" max="12801" width="21.5703125" style="3" customWidth="1"/>
    <col min="12802" max="12802" width="17.85546875" style="3" customWidth="1"/>
    <col min="12803" max="12819" width="9.140625" style="3" customWidth="1"/>
    <col min="12820" max="13055" width="9" style="3"/>
    <col min="13056" max="13056" width="5.28515625" style="3" customWidth="1"/>
    <col min="13057" max="13057" width="21.5703125" style="3" customWidth="1"/>
    <col min="13058" max="13058" width="17.85546875" style="3" customWidth="1"/>
    <col min="13059" max="13075" width="9.140625" style="3" customWidth="1"/>
    <col min="13076" max="13311" width="9" style="3"/>
    <col min="13312" max="13312" width="5.28515625" style="3" customWidth="1"/>
    <col min="13313" max="13313" width="21.5703125" style="3" customWidth="1"/>
    <col min="13314" max="13314" width="17.85546875" style="3" customWidth="1"/>
    <col min="13315" max="13331" width="9.140625" style="3" customWidth="1"/>
    <col min="13332" max="13567" width="9" style="3"/>
    <col min="13568" max="13568" width="5.28515625" style="3" customWidth="1"/>
    <col min="13569" max="13569" width="21.5703125" style="3" customWidth="1"/>
    <col min="13570" max="13570" width="17.85546875" style="3" customWidth="1"/>
    <col min="13571" max="13587" width="9.140625" style="3" customWidth="1"/>
    <col min="13588" max="13823" width="9" style="3"/>
    <col min="13824" max="13824" width="5.28515625" style="3" customWidth="1"/>
    <col min="13825" max="13825" width="21.5703125" style="3" customWidth="1"/>
    <col min="13826" max="13826" width="17.85546875" style="3" customWidth="1"/>
    <col min="13827" max="13843" width="9.140625" style="3" customWidth="1"/>
    <col min="13844" max="14079" width="9" style="3"/>
    <col min="14080" max="14080" width="5.28515625" style="3" customWidth="1"/>
    <col min="14081" max="14081" width="21.5703125" style="3" customWidth="1"/>
    <col min="14082" max="14082" width="17.85546875" style="3" customWidth="1"/>
    <col min="14083" max="14099" width="9.140625" style="3" customWidth="1"/>
    <col min="14100" max="14335" width="9" style="3"/>
    <col min="14336" max="14336" width="5.28515625" style="3" customWidth="1"/>
    <col min="14337" max="14337" width="21.5703125" style="3" customWidth="1"/>
    <col min="14338" max="14338" width="17.85546875" style="3" customWidth="1"/>
    <col min="14339" max="14355" width="9.140625" style="3" customWidth="1"/>
    <col min="14356" max="14591" width="9" style="3"/>
    <col min="14592" max="14592" width="5.28515625" style="3" customWidth="1"/>
    <col min="14593" max="14593" width="21.5703125" style="3" customWidth="1"/>
    <col min="14594" max="14594" width="17.85546875" style="3" customWidth="1"/>
    <col min="14595" max="14611" width="9.140625" style="3" customWidth="1"/>
    <col min="14612" max="14847" width="9" style="3"/>
    <col min="14848" max="14848" width="5.28515625" style="3" customWidth="1"/>
    <col min="14849" max="14849" width="21.5703125" style="3" customWidth="1"/>
    <col min="14850" max="14850" width="17.85546875" style="3" customWidth="1"/>
    <col min="14851" max="14867" width="9.140625" style="3" customWidth="1"/>
    <col min="14868" max="15103" width="9" style="3"/>
    <col min="15104" max="15104" width="5.28515625" style="3" customWidth="1"/>
    <col min="15105" max="15105" width="21.5703125" style="3" customWidth="1"/>
    <col min="15106" max="15106" width="17.85546875" style="3" customWidth="1"/>
    <col min="15107" max="15123" width="9.140625" style="3" customWidth="1"/>
    <col min="15124" max="15359" width="9" style="3"/>
    <col min="15360" max="15360" width="5.28515625" style="3" customWidth="1"/>
    <col min="15361" max="15361" width="21.5703125" style="3" customWidth="1"/>
    <col min="15362" max="15362" width="17.85546875" style="3" customWidth="1"/>
    <col min="15363" max="15379" width="9.140625" style="3" customWidth="1"/>
    <col min="15380" max="15615" width="9" style="3"/>
    <col min="15616" max="15616" width="5.28515625" style="3" customWidth="1"/>
    <col min="15617" max="15617" width="21.5703125" style="3" customWidth="1"/>
    <col min="15618" max="15618" width="17.85546875" style="3" customWidth="1"/>
    <col min="15619" max="15635" width="9.140625" style="3" customWidth="1"/>
    <col min="15636" max="15871" width="9" style="3"/>
    <col min="15872" max="15872" width="5.28515625" style="3" customWidth="1"/>
    <col min="15873" max="15873" width="21.5703125" style="3" customWidth="1"/>
    <col min="15874" max="15874" width="17.85546875" style="3" customWidth="1"/>
    <col min="15875" max="15891" width="9.140625" style="3" customWidth="1"/>
    <col min="15892" max="16127" width="9" style="3"/>
    <col min="16128" max="16128" width="5.28515625" style="3" customWidth="1"/>
    <col min="16129" max="16129" width="21.5703125" style="3" customWidth="1"/>
    <col min="16130" max="16130" width="17.85546875" style="3" customWidth="1"/>
    <col min="16131" max="16147" width="9.140625" style="3" customWidth="1"/>
    <col min="16148" max="16384" width="9" style="3"/>
  </cols>
  <sheetData>
    <row r="1" spans="1:34" ht="34.5" thickBot="1" x14ac:dyDescent="0.3">
      <c r="A1" s="176" t="s">
        <v>69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8"/>
      <c r="T1" s="1"/>
      <c r="U1" s="1"/>
    </row>
    <row r="2" spans="1:34" s="12" customFormat="1" ht="179.25" customHeight="1" thickBot="1" x14ac:dyDescent="0.3">
      <c r="A2" s="4" t="s">
        <v>0</v>
      </c>
      <c r="B2" s="5" t="s">
        <v>1</v>
      </c>
      <c r="C2" s="6" t="s">
        <v>2</v>
      </c>
      <c r="D2" s="7" t="s">
        <v>70</v>
      </c>
      <c r="E2" s="8" t="s">
        <v>71</v>
      </c>
      <c r="F2" s="7" t="s">
        <v>79</v>
      </c>
      <c r="G2" s="7" t="s">
        <v>80</v>
      </c>
      <c r="H2" s="7" t="s">
        <v>95</v>
      </c>
      <c r="I2" s="7" t="s">
        <v>94</v>
      </c>
      <c r="J2" s="8" t="s">
        <v>113</v>
      </c>
      <c r="K2" s="8" t="s">
        <v>114</v>
      </c>
      <c r="L2" s="8" t="s">
        <v>144</v>
      </c>
      <c r="M2" s="8" t="s">
        <v>145</v>
      </c>
      <c r="N2" s="8" t="s">
        <v>146</v>
      </c>
      <c r="O2" s="8" t="s">
        <v>148</v>
      </c>
      <c r="P2" s="8" t="s">
        <v>149</v>
      </c>
      <c r="Q2" s="7" t="s">
        <v>170</v>
      </c>
      <c r="R2" s="8" t="s">
        <v>171</v>
      </c>
      <c r="S2" s="9" t="s">
        <v>3</v>
      </c>
      <c r="T2" s="10"/>
      <c r="U2" s="10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s="21" customFormat="1" x14ac:dyDescent="0.25">
      <c r="A3" s="13" t="s">
        <v>4</v>
      </c>
      <c r="B3" s="14" t="s">
        <v>81</v>
      </c>
      <c r="C3" s="15" t="s">
        <v>5</v>
      </c>
      <c r="D3" s="86"/>
      <c r="E3" s="16"/>
      <c r="F3" s="16">
        <f>100-(30.07-30.07)/30.07*50</f>
        <v>100</v>
      </c>
      <c r="G3" s="16">
        <f>100-(115.4-115.4)/115.4*50</f>
        <v>100</v>
      </c>
      <c r="H3" s="136">
        <f>100-(45.92-44.18)/44.18*50</f>
        <v>98.030783159800819</v>
      </c>
      <c r="I3" s="185" t="s">
        <v>12</v>
      </c>
      <c r="J3" s="17"/>
      <c r="K3" s="17"/>
      <c r="L3" s="16">
        <f>100-(69.67-69.67)/69.67*50</f>
        <v>100</v>
      </c>
      <c r="M3" s="16">
        <f>100-(23.83-23.83)/23.83*50</f>
        <v>100</v>
      </c>
      <c r="N3" s="16">
        <f>100-(130.25-130.25)/130.25*50</f>
        <v>100</v>
      </c>
      <c r="O3" s="17">
        <f>100-(43.53-42.55)/42.55*50</f>
        <v>98.848413631022325</v>
      </c>
      <c r="P3" s="136">
        <f>100-(158.53-127.37)/127.37*50</f>
        <v>87.76792023239382</v>
      </c>
      <c r="Q3" s="17">
        <f>100-(61.53-61.53)/61.53*50</f>
        <v>100</v>
      </c>
      <c r="R3" s="17"/>
      <c r="S3" s="20">
        <f>SUM(D3:R3)-P3-H3</f>
        <v>698.84841363102237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s="21" customFormat="1" x14ac:dyDescent="0.25">
      <c r="A4" s="22" t="s">
        <v>6</v>
      </c>
      <c r="B4" s="23" t="s">
        <v>9</v>
      </c>
      <c r="C4" s="24" t="s">
        <v>10</v>
      </c>
      <c r="D4" s="19">
        <f>100-(95.65-92.27)/92.27*50</f>
        <v>98.168418770998159</v>
      </c>
      <c r="E4" s="19">
        <f>100-(74.35-71)/71*50</f>
        <v>97.640845070422543</v>
      </c>
      <c r="F4" s="18"/>
      <c r="G4" s="18"/>
      <c r="H4" s="18"/>
      <c r="I4" s="18"/>
      <c r="J4" s="18">
        <f>100-(32.2-32.1)/32.1*50</f>
        <v>99.844236760124602</v>
      </c>
      <c r="K4" s="18"/>
      <c r="L4" s="18"/>
      <c r="M4" s="18"/>
      <c r="N4" s="18"/>
      <c r="O4" s="19">
        <f>100-(42.55-42.55)/42.55*50</f>
        <v>100</v>
      </c>
      <c r="P4" s="18">
        <f>100-(127.37-127.37)/127.37*50</f>
        <v>100</v>
      </c>
      <c r="Q4" s="18">
        <f>100-(62.55-61.53)/61.53*50</f>
        <v>99.171136031204298</v>
      </c>
      <c r="R4" s="18">
        <f>100-(54.4-54.4)/54.4*50</f>
        <v>100</v>
      </c>
      <c r="S4" s="26">
        <f>SUM(D4:R4)</f>
        <v>694.82463663274962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s="21" customFormat="1" x14ac:dyDescent="0.25">
      <c r="A5" s="22" t="s">
        <v>8</v>
      </c>
      <c r="B5" s="23" t="s">
        <v>91</v>
      </c>
      <c r="C5" s="24" t="s">
        <v>7</v>
      </c>
      <c r="D5" s="33"/>
      <c r="E5" s="19"/>
      <c r="F5" s="131">
        <f>100-(35.08-30.07)/30.07*50</f>
        <v>91.669437978051221</v>
      </c>
      <c r="G5" s="19">
        <f>100-(123.3-115.4)/115.4*50</f>
        <v>96.577123050259971</v>
      </c>
      <c r="J5" s="131">
        <f>100-(38.43-32.1)/32.1*50</f>
        <v>90.140186915887853</v>
      </c>
      <c r="K5" s="18">
        <f>100-(70.57-70.57)/70.57*50</f>
        <v>100</v>
      </c>
      <c r="L5" s="19">
        <f>100-(68.15-68.15)/68.15*50</f>
        <v>100</v>
      </c>
      <c r="M5" s="19">
        <f>100-(34.62-34.62)/34.62*50</f>
        <v>100</v>
      </c>
      <c r="N5" s="18">
        <f>100-(133.95-133.95)/133.95*50</f>
        <v>100</v>
      </c>
      <c r="O5" s="132">
        <f>100-(47.42-42.55)/42.55*50</f>
        <v>94.277320799059922</v>
      </c>
      <c r="P5" s="18">
        <f>100-(139.62-127.37)/127.37*50</f>
        <v>95.191175316008483</v>
      </c>
      <c r="Q5" s="164" t="s">
        <v>12</v>
      </c>
      <c r="R5" s="18">
        <f>100-(55.25-54.4)/54.4*50</f>
        <v>99.21875</v>
      </c>
      <c r="S5" s="26">
        <f>SUM(D5:R5)-F5-J5-O5</f>
        <v>690.98704836626848</v>
      </c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s="21" customFormat="1" x14ac:dyDescent="0.25">
      <c r="A6" s="22" t="s">
        <v>11</v>
      </c>
      <c r="B6" s="23" t="s">
        <v>24</v>
      </c>
      <c r="C6" s="24" t="s">
        <v>25</v>
      </c>
      <c r="D6" s="19">
        <f>100-(92.27-92.27)/92.27*50</f>
        <v>100</v>
      </c>
      <c r="E6" s="19">
        <f>100-(73.93-71)/71*50</f>
        <v>97.936619718309856</v>
      </c>
      <c r="F6" s="18">
        <f>100-(36.7-30.07)/30.07*50</f>
        <v>88.975723312271356</v>
      </c>
      <c r="G6" s="18">
        <f>100-(128.7-115.4)/115.4*50</f>
        <v>94.237435008665514</v>
      </c>
      <c r="H6" s="18">
        <f>100-(49.35-44.18)/44.18*50</f>
        <v>94.148936170212764</v>
      </c>
      <c r="I6" s="70" t="s">
        <v>12</v>
      </c>
      <c r="J6" s="18">
        <f>100-(32.1-32.1)/32.1*50</f>
        <v>100</v>
      </c>
      <c r="K6" s="18">
        <f>100-(79.13-70.57)/70.57*50</f>
        <v>93.9350999008077</v>
      </c>
      <c r="L6" s="18"/>
      <c r="M6" s="18"/>
      <c r="N6" s="18"/>
      <c r="O6" s="18"/>
      <c r="P6" s="18"/>
      <c r="Q6" s="163"/>
      <c r="R6" s="19"/>
      <c r="S6" s="26">
        <f>SUM(D6:R6)</f>
        <v>669.23381411026719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s="21" customFormat="1" x14ac:dyDescent="0.25">
      <c r="A7" s="22" t="s">
        <v>13</v>
      </c>
      <c r="B7" s="23" t="s">
        <v>30</v>
      </c>
      <c r="C7" s="24"/>
      <c r="D7" s="19">
        <f>100-(114.8-92.27)/92.27*50</f>
        <v>87.79126476644629</v>
      </c>
      <c r="E7" s="19">
        <f>100-(78.28-71)/71*50</f>
        <v>94.873239436619713</v>
      </c>
      <c r="F7" s="162"/>
      <c r="G7" s="34"/>
      <c r="H7" s="132">
        <f>100-(61.73-44.18)/44.18*50</f>
        <v>80.138071525577189</v>
      </c>
      <c r="I7" s="18">
        <f>100-(147.37-111.7)/111.7*50</f>
        <v>84.033124440465528</v>
      </c>
      <c r="J7" s="99">
        <f>100-(39.15-32.1)/32.1*50</f>
        <v>89.018691588785046</v>
      </c>
      <c r="K7" s="132">
        <f>100-(101.39-70.57)/70.57*50</f>
        <v>78.163525577440836</v>
      </c>
      <c r="L7" s="18">
        <f>100-(73.1-69.67)/69.67*50</f>
        <v>97.538395292091295</v>
      </c>
      <c r="M7" s="18">
        <f>100-(31.15-23.83)/23.83*50</f>
        <v>84.64120856063785</v>
      </c>
      <c r="N7" s="18">
        <f>100-(145.7-130.25)/130.25*50</f>
        <v>94.069097888675628</v>
      </c>
      <c r="O7" s="132">
        <f>100-(56.32-42.55)/42.55*50</f>
        <v>83.819036427732073</v>
      </c>
      <c r="P7" s="132">
        <f>100-(184.2-127.37)/127.37*50</f>
        <v>77.690979037449949</v>
      </c>
      <c r="Q7" s="18"/>
      <c r="R7" s="18"/>
      <c r="S7" s="26">
        <f>SUM(D7:R7)-H7-K7-O7-P7</f>
        <v>631.96502197372138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s="21" customFormat="1" x14ac:dyDescent="0.25">
      <c r="A8" s="22" t="s">
        <v>15</v>
      </c>
      <c r="B8" s="23" t="s">
        <v>16</v>
      </c>
      <c r="C8" s="24" t="s">
        <v>17</v>
      </c>
      <c r="D8" s="31"/>
      <c r="E8" s="19">
        <f>100-(75.62-71)/71*50</f>
        <v>96.74647887323944</v>
      </c>
      <c r="F8" s="18"/>
      <c r="G8" s="18"/>
      <c r="H8" s="18"/>
      <c r="I8" s="18"/>
      <c r="J8" s="18">
        <f>100-(34.17-32.1)/32.1*50</f>
        <v>96.775700934579433</v>
      </c>
      <c r="K8" s="18">
        <f>100-(90.02-70.57)/70.57*50</f>
        <v>86.21935666713901</v>
      </c>
      <c r="L8" s="18"/>
      <c r="M8" s="25"/>
      <c r="N8" s="18"/>
      <c r="O8" s="18">
        <f>100-(44.3-42.55)/42.55*50</f>
        <v>97.94359576968273</v>
      </c>
      <c r="P8" s="70" t="s">
        <v>12</v>
      </c>
      <c r="Q8" s="18">
        <f>100-(66.42-61.53)/61.53*50</f>
        <v>96.026328620185268</v>
      </c>
      <c r="R8" s="18">
        <f>100-(65.72-54.4)/54.4*50</f>
        <v>89.595588235294116</v>
      </c>
      <c r="S8" s="26">
        <f t="shared" ref="S8:S19" si="0">SUM(D8:R8)</f>
        <v>563.30704910012003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s="21" customFormat="1" x14ac:dyDescent="0.25">
      <c r="A9" s="22" t="s">
        <v>18</v>
      </c>
      <c r="B9" s="23" t="s">
        <v>21</v>
      </c>
      <c r="C9" s="24" t="s">
        <v>22</v>
      </c>
      <c r="D9" s="31"/>
      <c r="E9" s="19">
        <f>100-(84.6-71)/71*50</f>
        <v>90.422535211267615</v>
      </c>
      <c r="F9" s="18"/>
      <c r="G9" s="18"/>
      <c r="H9" s="18">
        <f>100-(60-44.18)/44.18*50</f>
        <v>82.095971027614297</v>
      </c>
      <c r="I9" s="18">
        <f>100-(141.75-111.7)/111.7*50</f>
        <v>86.548791405550588</v>
      </c>
      <c r="J9" s="18">
        <f>100-(38.6-32.1)/32.1*50</f>
        <v>89.875389408099693</v>
      </c>
      <c r="K9" s="18">
        <f>100-(105.58-70.57)/70.57*50</f>
        <v>75.194842000850215</v>
      </c>
      <c r="L9" s="19"/>
      <c r="M9" s="19"/>
      <c r="N9" s="19"/>
      <c r="O9" s="19"/>
      <c r="P9" s="18"/>
      <c r="Q9" s="18"/>
      <c r="R9" s="18"/>
      <c r="S9" s="26">
        <f t="shared" si="0"/>
        <v>424.13752905338242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s="21" customFormat="1" x14ac:dyDescent="0.25">
      <c r="A10" s="22" t="s">
        <v>20</v>
      </c>
      <c r="B10" s="23" t="s">
        <v>28</v>
      </c>
      <c r="C10" s="24" t="s">
        <v>19</v>
      </c>
      <c r="D10" s="31"/>
      <c r="E10" s="36">
        <f>100-(71-71)/71*50</f>
        <v>100</v>
      </c>
      <c r="F10" s="28"/>
      <c r="G10" s="19"/>
      <c r="H10" s="18"/>
      <c r="I10" s="18"/>
      <c r="J10" s="18">
        <f>100-(32.83-32.1)/32.1*50</f>
        <v>98.862928348909662</v>
      </c>
      <c r="K10" s="18"/>
      <c r="L10" s="19"/>
      <c r="M10" s="19"/>
      <c r="N10" s="18"/>
      <c r="O10" s="18"/>
      <c r="P10" s="18">
        <f>100-(148.02-127.37)/127.37*50</f>
        <v>91.893695532700008</v>
      </c>
      <c r="Q10" s="19"/>
      <c r="R10" s="18">
        <f>100-(63.45-54.4)/54.4*50</f>
        <v>91.681985294117638</v>
      </c>
      <c r="S10" s="26">
        <f t="shared" si="0"/>
        <v>382.43860917572732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s="21" customFormat="1" x14ac:dyDescent="0.25">
      <c r="A11" s="22" t="s">
        <v>23</v>
      </c>
      <c r="B11" s="23" t="s">
        <v>115</v>
      </c>
      <c r="C11" s="24" t="s">
        <v>19</v>
      </c>
      <c r="D11" s="161"/>
      <c r="E11" s="18"/>
      <c r="F11" s="28"/>
      <c r="G11" s="19"/>
      <c r="H11" s="18"/>
      <c r="I11" s="18"/>
      <c r="J11" s="18">
        <f>100-(33.48-32.1)/32.1*50</f>
        <v>97.850467289719631</v>
      </c>
      <c r="K11" s="18">
        <f>100-(84.65-70.57)/70.57*50</f>
        <v>90.024089556468738</v>
      </c>
      <c r="L11" s="18"/>
      <c r="M11" s="18"/>
      <c r="N11" s="34"/>
      <c r="O11" s="18">
        <f>100-(47.18-42.55)/42.55*50</f>
        <v>94.559341950646299</v>
      </c>
      <c r="P11" s="18">
        <f>100-(151.85-127.37)/127.37*50</f>
        <v>90.390201774358175</v>
      </c>
      <c r="Q11" s="34"/>
      <c r="R11" s="34"/>
      <c r="S11" s="26">
        <f t="shared" si="0"/>
        <v>372.82410057119284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s="21" customFormat="1" x14ac:dyDescent="0.25">
      <c r="A12" s="22" t="s">
        <v>26</v>
      </c>
      <c r="B12" s="23" t="s">
        <v>96</v>
      </c>
      <c r="C12" s="24" t="s">
        <v>14</v>
      </c>
      <c r="D12" s="27"/>
      <c r="E12" s="18"/>
      <c r="F12" s="34"/>
      <c r="G12" s="18"/>
      <c r="H12" s="18">
        <f>100-(44.18-44.18)/44.18*50</f>
        <v>100</v>
      </c>
      <c r="I12" s="18">
        <f>100-(111.7-111.7)/111.7*50</f>
        <v>100</v>
      </c>
      <c r="J12" s="18"/>
      <c r="K12" s="18">
        <f>100-(81.9-70.57)/70.57*50</f>
        <v>91.972509564970949</v>
      </c>
      <c r="L12" s="18"/>
      <c r="M12" s="25"/>
      <c r="N12" s="18"/>
      <c r="O12" s="18"/>
      <c r="P12" s="18"/>
      <c r="Q12" s="29"/>
      <c r="R12" s="18"/>
      <c r="S12" s="26">
        <f t="shared" si="0"/>
        <v>291.97250956497095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s="21" customFormat="1" x14ac:dyDescent="0.25">
      <c r="A13" s="22" t="s">
        <v>27</v>
      </c>
      <c r="B13" s="23" t="s">
        <v>116</v>
      </c>
      <c r="C13" s="24" t="s">
        <v>19</v>
      </c>
      <c r="D13" s="36"/>
      <c r="E13" s="19"/>
      <c r="F13" s="34"/>
      <c r="G13" s="37"/>
      <c r="H13" s="18"/>
      <c r="I13" s="18"/>
      <c r="J13" s="18">
        <f>100-(36.97-32.1)/32.1*50</f>
        <v>92.414330218068542</v>
      </c>
      <c r="K13" s="18">
        <f>100-(89.4-70.57)/70.57*50</f>
        <v>86.658636814510402</v>
      </c>
      <c r="L13" s="18"/>
      <c r="M13" s="25"/>
      <c r="N13" s="18"/>
      <c r="O13" s="18"/>
      <c r="P13" s="18"/>
      <c r="Q13" s="29"/>
      <c r="R13" s="29"/>
      <c r="S13" s="26">
        <f t="shared" si="0"/>
        <v>179.07296703257896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s="21" customFormat="1" x14ac:dyDescent="0.25">
      <c r="A14" s="22" t="s">
        <v>29</v>
      </c>
      <c r="B14" s="23" t="s">
        <v>117</v>
      </c>
      <c r="C14" s="24" t="s">
        <v>22</v>
      </c>
      <c r="D14" s="36"/>
      <c r="E14" s="18"/>
      <c r="F14" s="19"/>
      <c r="G14" s="19"/>
      <c r="H14" s="18"/>
      <c r="I14" s="18"/>
      <c r="J14" s="18">
        <f>100-(41.35-32.1)/32.1*50</f>
        <v>85.591900311526473</v>
      </c>
      <c r="K14" s="18"/>
      <c r="L14" s="19"/>
      <c r="M14" s="30"/>
      <c r="N14" s="18"/>
      <c r="O14" s="34"/>
      <c r="P14" s="18">
        <f>100-(145.68-127.37)/127.37*50</f>
        <v>92.812279186621652</v>
      </c>
      <c r="Q14" s="18"/>
      <c r="R14" s="19"/>
      <c r="S14" s="26">
        <f t="shared" si="0"/>
        <v>178.40417949814812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s="21" customFormat="1" x14ac:dyDescent="0.25">
      <c r="A15" s="22" t="s">
        <v>31</v>
      </c>
      <c r="B15" s="23" t="s">
        <v>73</v>
      </c>
      <c r="C15" s="24" t="s">
        <v>74</v>
      </c>
      <c r="D15" s="118" t="s">
        <v>12</v>
      </c>
      <c r="E15" s="70" t="s">
        <v>12</v>
      </c>
      <c r="F15" s="18"/>
      <c r="G15" s="106"/>
      <c r="H15" s="19"/>
      <c r="I15" s="19"/>
      <c r="J15" s="18"/>
      <c r="K15" s="18"/>
      <c r="L15" s="18"/>
      <c r="M15" s="18"/>
      <c r="N15" s="18"/>
      <c r="O15" s="18">
        <f>100-(64.85-42.55)/42.55*50</f>
        <v>73.795534665099879</v>
      </c>
      <c r="P15" s="18">
        <f>100-(197.92-127.37)/127.37*50</f>
        <v>72.305095391379453</v>
      </c>
      <c r="Q15" s="18"/>
      <c r="R15" s="18"/>
      <c r="S15" s="26">
        <f t="shared" si="0"/>
        <v>146.10063005647933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s="21" customFormat="1" x14ac:dyDescent="0.25">
      <c r="A16" s="22" t="s">
        <v>32</v>
      </c>
      <c r="B16" s="23" t="s">
        <v>46</v>
      </c>
      <c r="C16" s="32" t="s">
        <v>17</v>
      </c>
      <c r="D16" s="118" t="s">
        <v>12</v>
      </c>
      <c r="E16" s="18">
        <f>100-(83.03-71)/71*50</f>
        <v>91.528169014084511</v>
      </c>
      <c r="F16" s="19"/>
      <c r="G16" s="19"/>
      <c r="H16" s="18"/>
      <c r="I16" s="18"/>
      <c r="J16" s="18"/>
      <c r="L16" s="19"/>
      <c r="M16" s="19"/>
      <c r="P16" s="18"/>
      <c r="Q16" s="29"/>
      <c r="R16" s="77"/>
      <c r="S16" s="26">
        <f t="shared" si="0"/>
        <v>91.528169014084511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s="21" customFormat="1" x14ac:dyDescent="0.25">
      <c r="A17" s="22" t="s">
        <v>33</v>
      </c>
      <c r="B17" s="23" t="s">
        <v>141</v>
      </c>
      <c r="C17" s="32" t="s">
        <v>142</v>
      </c>
      <c r="D17" s="35"/>
      <c r="E17" s="18"/>
      <c r="F17" s="38"/>
      <c r="H17" s="33"/>
      <c r="I17" s="33"/>
      <c r="J17" s="18"/>
      <c r="L17" s="18"/>
      <c r="M17" s="25"/>
      <c r="P17" s="18">
        <f>100-(151.4-127.37)/127.37*50</f>
        <v>90.566852477035411</v>
      </c>
      <c r="Q17" s="18"/>
      <c r="S17" s="26">
        <f t="shared" si="0"/>
        <v>90.566852477035411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s="21" customFormat="1" x14ac:dyDescent="0.25">
      <c r="A18" s="22" t="s">
        <v>34</v>
      </c>
      <c r="B18" s="23" t="s">
        <v>175</v>
      </c>
      <c r="C18" s="32" t="s">
        <v>176</v>
      </c>
      <c r="D18" s="36"/>
      <c r="E18" s="18"/>
      <c r="F18" s="34"/>
      <c r="G18" s="18"/>
      <c r="H18" s="30"/>
      <c r="I18" s="19"/>
      <c r="J18" s="18"/>
      <c r="K18" s="18"/>
      <c r="L18" s="18"/>
      <c r="M18" s="25"/>
      <c r="N18" s="18"/>
      <c r="O18" s="18"/>
      <c r="P18" s="18"/>
      <c r="Q18" s="19">
        <f>100-(80.83-61.53)/61.53*50</f>
        <v>84.316593531610593</v>
      </c>
      <c r="R18" s="18"/>
      <c r="S18" s="26">
        <f t="shared" si="0"/>
        <v>84.316593531610593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s="21" customFormat="1" ht="15.75" thickBot="1" x14ac:dyDescent="0.3">
      <c r="A19" s="39" t="s">
        <v>35</v>
      </c>
      <c r="B19" s="40" t="s">
        <v>150</v>
      </c>
      <c r="C19" s="41" t="s">
        <v>19</v>
      </c>
      <c r="D19" s="186"/>
      <c r="E19" s="43"/>
      <c r="F19" s="44"/>
      <c r="G19" s="43"/>
      <c r="H19" s="45"/>
      <c r="I19" s="43"/>
      <c r="J19" s="43"/>
      <c r="K19" s="43"/>
      <c r="L19" s="43"/>
      <c r="M19" s="46"/>
      <c r="N19" s="43"/>
      <c r="O19" s="43">
        <f>100-(56.38-42.55)/42.55*50</f>
        <v>83.748531139835478</v>
      </c>
      <c r="P19" s="43"/>
      <c r="Q19" s="43"/>
      <c r="R19" s="43"/>
      <c r="S19" s="47">
        <f t="shared" si="0"/>
        <v>83.748531139835478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s="2" customFormat="1" x14ac:dyDescent="0.25">
      <c r="D20" s="48"/>
      <c r="E20" s="48"/>
      <c r="F20" s="49"/>
      <c r="G20" s="48"/>
      <c r="H20" s="50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51"/>
    </row>
    <row r="21" spans="1:34" s="2" customFormat="1" x14ac:dyDescent="0.25">
      <c r="F21" s="52"/>
      <c r="J21" s="48"/>
      <c r="L21" s="48"/>
      <c r="N21" s="48"/>
      <c r="O21" s="48"/>
      <c r="S21" s="51"/>
    </row>
    <row r="22" spans="1:34" x14ac:dyDescent="0.25">
      <c r="A22" s="2"/>
      <c r="B22" s="2"/>
      <c r="C22" s="2"/>
      <c r="D22" s="48"/>
      <c r="E22" s="48"/>
      <c r="F22" s="49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1:34" s="53" customFormat="1" x14ac:dyDescent="0.25">
      <c r="A23" s="53" t="s">
        <v>36</v>
      </c>
    </row>
    <row r="24" spans="1:34" s="54" customFormat="1" x14ac:dyDescent="0.25">
      <c r="A24" s="54" t="s">
        <v>37</v>
      </c>
    </row>
  </sheetData>
  <sortState ref="B3:S19">
    <sortCondition descending="1" ref="S3"/>
  </sortState>
  <mergeCells count="1">
    <mergeCell ref="A1:S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workbookViewId="0">
      <selection activeCell="R17" sqref="R17"/>
    </sheetView>
  </sheetViews>
  <sheetFormatPr defaultColWidth="9" defaultRowHeight="15" x14ac:dyDescent="0.25"/>
  <cols>
    <col min="1" max="1" width="5.140625" style="3" customWidth="1"/>
    <col min="2" max="2" width="19.85546875" style="3" customWidth="1"/>
    <col min="3" max="3" width="11.85546875" style="3" customWidth="1"/>
    <col min="4" max="5" width="9.140625" style="3" customWidth="1"/>
    <col min="6" max="6" width="9.140625" style="55" customWidth="1"/>
    <col min="7" max="19" width="9.140625" style="3" customWidth="1"/>
    <col min="20" max="29" width="9" style="2"/>
    <col min="30" max="255" width="9" style="3"/>
    <col min="256" max="256" width="5.140625" style="3" customWidth="1"/>
    <col min="257" max="257" width="19.85546875" style="3" customWidth="1"/>
    <col min="258" max="258" width="11.85546875" style="3" customWidth="1"/>
    <col min="259" max="275" width="9.140625" style="3" customWidth="1"/>
    <col min="276" max="511" width="9" style="3"/>
    <col min="512" max="512" width="5.140625" style="3" customWidth="1"/>
    <col min="513" max="513" width="19.85546875" style="3" customWidth="1"/>
    <col min="514" max="514" width="11.85546875" style="3" customWidth="1"/>
    <col min="515" max="531" width="9.140625" style="3" customWidth="1"/>
    <col min="532" max="767" width="9" style="3"/>
    <col min="768" max="768" width="5.140625" style="3" customWidth="1"/>
    <col min="769" max="769" width="19.85546875" style="3" customWidth="1"/>
    <col min="770" max="770" width="11.85546875" style="3" customWidth="1"/>
    <col min="771" max="787" width="9.140625" style="3" customWidth="1"/>
    <col min="788" max="1023" width="9" style="3"/>
    <col min="1024" max="1024" width="5.140625" style="3" customWidth="1"/>
    <col min="1025" max="1025" width="19.85546875" style="3" customWidth="1"/>
    <col min="1026" max="1026" width="11.85546875" style="3" customWidth="1"/>
    <col min="1027" max="1043" width="9.140625" style="3" customWidth="1"/>
    <col min="1044" max="1279" width="9" style="3"/>
    <col min="1280" max="1280" width="5.140625" style="3" customWidth="1"/>
    <col min="1281" max="1281" width="19.85546875" style="3" customWidth="1"/>
    <col min="1282" max="1282" width="11.85546875" style="3" customWidth="1"/>
    <col min="1283" max="1299" width="9.140625" style="3" customWidth="1"/>
    <col min="1300" max="1535" width="9" style="3"/>
    <col min="1536" max="1536" width="5.140625" style="3" customWidth="1"/>
    <col min="1537" max="1537" width="19.85546875" style="3" customWidth="1"/>
    <col min="1538" max="1538" width="11.85546875" style="3" customWidth="1"/>
    <col min="1539" max="1555" width="9.140625" style="3" customWidth="1"/>
    <col min="1556" max="1791" width="9" style="3"/>
    <col min="1792" max="1792" width="5.140625" style="3" customWidth="1"/>
    <col min="1793" max="1793" width="19.85546875" style="3" customWidth="1"/>
    <col min="1794" max="1794" width="11.85546875" style="3" customWidth="1"/>
    <col min="1795" max="1811" width="9.140625" style="3" customWidth="1"/>
    <col min="1812" max="2047" width="9" style="3"/>
    <col min="2048" max="2048" width="5.140625" style="3" customWidth="1"/>
    <col min="2049" max="2049" width="19.85546875" style="3" customWidth="1"/>
    <col min="2050" max="2050" width="11.85546875" style="3" customWidth="1"/>
    <col min="2051" max="2067" width="9.140625" style="3" customWidth="1"/>
    <col min="2068" max="2303" width="9" style="3"/>
    <col min="2304" max="2304" width="5.140625" style="3" customWidth="1"/>
    <col min="2305" max="2305" width="19.85546875" style="3" customWidth="1"/>
    <col min="2306" max="2306" width="11.85546875" style="3" customWidth="1"/>
    <col min="2307" max="2323" width="9.140625" style="3" customWidth="1"/>
    <col min="2324" max="2559" width="9" style="3"/>
    <col min="2560" max="2560" width="5.140625" style="3" customWidth="1"/>
    <col min="2561" max="2561" width="19.85546875" style="3" customWidth="1"/>
    <col min="2562" max="2562" width="11.85546875" style="3" customWidth="1"/>
    <col min="2563" max="2579" width="9.140625" style="3" customWidth="1"/>
    <col min="2580" max="2815" width="9" style="3"/>
    <col min="2816" max="2816" width="5.140625" style="3" customWidth="1"/>
    <col min="2817" max="2817" width="19.85546875" style="3" customWidth="1"/>
    <col min="2818" max="2818" width="11.85546875" style="3" customWidth="1"/>
    <col min="2819" max="2835" width="9.140625" style="3" customWidth="1"/>
    <col min="2836" max="3071" width="9" style="3"/>
    <col min="3072" max="3072" width="5.140625" style="3" customWidth="1"/>
    <col min="3073" max="3073" width="19.85546875" style="3" customWidth="1"/>
    <col min="3074" max="3074" width="11.85546875" style="3" customWidth="1"/>
    <col min="3075" max="3091" width="9.140625" style="3" customWidth="1"/>
    <col min="3092" max="3327" width="9" style="3"/>
    <col min="3328" max="3328" width="5.140625" style="3" customWidth="1"/>
    <col min="3329" max="3329" width="19.85546875" style="3" customWidth="1"/>
    <col min="3330" max="3330" width="11.85546875" style="3" customWidth="1"/>
    <col min="3331" max="3347" width="9.140625" style="3" customWidth="1"/>
    <col min="3348" max="3583" width="9" style="3"/>
    <col min="3584" max="3584" width="5.140625" style="3" customWidth="1"/>
    <col min="3585" max="3585" width="19.85546875" style="3" customWidth="1"/>
    <col min="3586" max="3586" width="11.85546875" style="3" customWidth="1"/>
    <col min="3587" max="3603" width="9.140625" style="3" customWidth="1"/>
    <col min="3604" max="3839" width="9" style="3"/>
    <col min="3840" max="3840" width="5.140625" style="3" customWidth="1"/>
    <col min="3841" max="3841" width="19.85546875" style="3" customWidth="1"/>
    <col min="3842" max="3842" width="11.85546875" style="3" customWidth="1"/>
    <col min="3843" max="3859" width="9.140625" style="3" customWidth="1"/>
    <col min="3860" max="4095" width="9" style="3"/>
    <col min="4096" max="4096" width="5.140625" style="3" customWidth="1"/>
    <col min="4097" max="4097" width="19.85546875" style="3" customWidth="1"/>
    <col min="4098" max="4098" width="11.85546875" style="3" customWidth="1"/>
    <col min="4099" max="4115" width="9.140625" style="3" customWidth="1"/>
    <col min="4116" max="4351" width="9" style="3"/>
    <col min="4352" max="4352" width="5.140625" style="3" customWidth="1"/>
    <col min="4353" max="4353" width="19.85546875" style="3" customWidth="1"/>
    <col min="4354" max="4354" width="11.85546875" style="3" customWidth="1"/>
    <col min="4355" max="4371" width="9.140625" style="3" customWidth="1"/>
    <col min="4372" max="4607" width="9" style="3"/>
    <col min="4608" max="4608" width="5.140625" style="3" customWidth="1"/>
    <col min="4609" max="4609" width="19.85546875" style="3" customWidth="1"/>
    <col min="4610" max="4610" width="11.85546875" style="3" customWidth="1"/>
    <col min="4611" max="4627" width="9.140625" style="3" customWidth="1"/>
    <col min="4628" max="4863" width="9" style="3"/>
    <col min="4864" max="4864" width="5.140625" style="3" customWidth="1"/>
    <col min="4865" max="4865" width="19.85546875" style="3" customWidth="1"/>
    <col min="4866" max="4866" width="11.85546875" style="3" customWidth="1"/>
    <col min="4867" max="4883" width="9.140625" style="3" customWidth="1"/>
    <col min="4884" max="5119" width="9" style="3"/>
    <col min="5120" max="5120" width="5.140625" style="3" customWidth="1"/>
    <col min="5121" max="5121" width="19.85546875" style="3" customWidth="1"/>
    <col min="5122" max="5122" width="11.85546875" style="3" customWidth="1"/>
    <col min="5123" max="5139" width="9.140625" style="3" customWidth="1"/>
    <col min="5140" max="5375" width="9" style="3"/>
    <col min="5376" max="5376" width="5.140625" style="3" customWidth="1"/>
    <col min="5377" max="5377" width="19.85546875" style="3" customWidth="1"/>
    <col min="5378" max="5378" width="11.85546875" style="3" customWidth="1"/>
    <col min="5379" max="5395" width="9.140625" style="3" customWidth="1"/>
    <col min="5396" max="5631" width="9" style="3"/>
    <col min="5632" max="5632" width="5.140625" style="3" customWidth="1"/>
    <col min="5633" max="5633" width="19.85546875" style="3" customWidth="1"/>
    <col min="5634" max="5634" width="11.85546875" style="3" customWidth="1"/>
    <col min="5635" max="5651" width="9.140625" style="3" customWidth="1"/>
    <col min="5652" max="5887" width="9" style="3"/>
    <col min="5888" max="5888" width="5.140625" style="3" customWidth="1"/>
    <col min="5889" max="5889" width="19.85546875" style="3" customWidth="1"/>
    <col min="5890" max="5890" width="11.85546875" style="3" customWidth="1"/>
    <col min="5891" max="5907" width="9.140625" style="3" customWidth="1"/>
    <col min="5908" max="6143" width="9" style="3"/>
    <col min="6144" max="6144" width="5.140625" style="3" customWidth="1"/>
    <col min="6145" max="6145" width="19.85546875" style="3" customWidth="1"/>
    <col min="6146" max="6146" width="11.85546875" style="3" customWidth="1"/>
    <col min="6147" max="6163" width="9.140625" style="3" customWidth="1"/>
    <col min="6164" max="6399" width="9" style="3"/>
    <col min="6400" max="6400" width="5.140625" style="3" customWidth="1"/>
    <col min="6401" max="6401" width="19.85546875" style="3" customWidth="1"/>
    <col min="6402" max="6402" width="11.85546875" style="3" customWidth="1"/>
    <col min="6403" max="6419" width="9.140625" style="3" customWidth="1"/>
    <col min="6420" max="6655" width="9" style="3"/>
    <col min="6656" max="6656" width="5.140625" style="3" customWidth="1"/>
    <col min="6657" max="6657" width="19.85546875" style="3" customWidth="1"/>
    <col min="6658" max="6658" width="11.85546875" style="3" customWidth="1"/>
    <col min="6659" max="6675" width="9.140625" style="3" customWidth="1"/>
    <col min="6676" max="6911" width="9" style="3"/>
    <col min="6912" max="6912" width="5.140625" style="3" customWidth="1"/>
    <col min="6913" max="6913" width="19.85546875" style="3" customWidth="1"/>
    <col min="6914" max="6914" width="11.85546875" style="3" customWidth="1"/>
    <col min="6915" max="6931" width="9.140625" style="3" customWidth="1"/>
    <col min="6932" max="7167" width="9" style="3"/>
    <col min="7168" max="7168" width="5.140625" style="3" customWidth="1"/>
    <col min="7169" max="7169" width="19.85546875" style="3" customWidth="1"/>
    <col min="7170" max="7170" width="11.85546875" style="3" customWidth="1"/>
    <col min="7171" max="7187" width="9.140625" style="3" customWidth="1"/>
    <col min="7188" max="7423" width="9" style="3"/>
    <col min="7424" max="7424" width="5.140625" style="3" customWidth="1"/>
    <col min="7425" max="7425" width="19.85546875" style="3" customWidth="1"/>
    <col min="7426" max="7426" width="11.85546875" style="3" customWidth="1"/>
    <col min="7427" max="7443" width="9.140625" style="3" customWidth="1"/>
    <col min="7444" max="7679" width="9" style="3"/>
    <col min="7680" max="7680" width="5.140625" style="3" customWidth="1"/>
    <col min="7681" max="7681" width="19.85546875" style="3" customWidth="1"/>
    <col min="7682" max="7682" width="11.85546875" style="3" customWidth="1"/>
    <col min="7683" max="7699" width="9.140625" style="3" customWidth="1"/>
    <col min="7700" max="7935" width="9" style="3"/>
    <col min="7936" max="7936" width="5.140625" style="3" customWidth="1"/>
    <col min="7937" max="7937" width="19.85546875" style="3" customWidth="1"/>
    <col min="7938" max="7938" width="11.85546875" style="3" customWidth="1"/>
    <col min="7939" max="7955" width="9.140625" style="3" customWidth="1"/>
    <col min="7956" max="8191" width="9" style="3"/>
    <col min="8192" max="8192" width="5.140625" style="3" customWidth="1"/>
    <col min="8193" max="8193" width="19.85546875" style="3" customWidth="1"/>
    <col min="8194" max="8194" width="11.85546875" style="3" customWidth="1"/>
    <col min="8195" max="8211" width="9.140625" style="3" customWidth="1"/>
    <col min="8212" max="8447" width="9" style="3"/>
    <col min="8448" max="8448" width="5.140625" style="3" customWidth="1"/>
    <col min="8449" max="8449" width="19.85546875" style="3" customWidth="1"/>
    <col min="8450" max="8450" width="11.85546875" style="3" customWidth="1"/>
    <col min="8451" max="8467" width="9.140625" style="3" customWidth="1"/>
    <col min="8468" max="8703" width="9" style="3"/>
    <col min="8704" max="8704" width="5.140625" style="3" customWidth="1"/>
    <col min="8705" max="8705" width="19.85546875" style="3" customWidth="1"/>
    <col min="8706" max="8706" width="11.85546875" style="3" customWidth="1"/>
    <col min="8707" max="8723" width="9.140625" style="3" customWidth="1"/>
    <col min="8724" max="8959" width="9" style="3"/>
    <col min="8960" max="8960" width="5.140625" style="3" customWidth="1"/>
    <col min="8961" max="8961" width="19.85546875" style="3" customWidth="1"/>
    <col min="8962" max="8962" width="11.85546875" style="3" customWidth="1"/>
    <col min="8963" max="8979" width="9.140625" style="3" customWidth="1"/>
    <col min="8980" max="9215" width="9" style="3"/>
    <col min="9216" max="9216" width="5.140625" style="3" customWidth="1"/>
    <col min="9217" max="9217" width="19.85546875" style="3" customWidth="1"/>
    <col min="9218" max="9218" width="11.85546875" style="3" customWidth="1"/>
    <col min="9219" max="9235" width="9.140625" style="3" customWidth="1"/>
    <col min="9236" max="9471" width="9" style="3"/>
    <col min="9472" max="9472" width="5.140625" style="3" customWidth="1"/>
    <col min="9473" max="9473" width="19.85546875" style="3" customWidth="1"/>
    <col min="9474" max="9474" width="11.85546875" style="3" customWidth="1"/>
    <col min="9475" max="9491" width="9.140625" style="3" customWidth="1"/>
    <col min="9492" max="9727" width="9" style="3"/>
    <col min="9728" max="9728" width="5.140625" style="3" customWidth="1"/>
    <col min="9729" max="9729" width="19.85546875" style="3" customWidth="1"/>
    <col min="9730" max="9730" width="11.85546875" style="3" customWidth="1"/>
    <col min="9731" max="9747" width="9.140625" style="3" customWidth="1"/>
    <col min="9748" max="9983" width="9" style="3"/>
    <col min="9984" max="9984" width="5.140625" style="3" customWidth="1"/>
    <col min="9985" max="9985" width="19.85546875" style="3" customWidth="1"/>
    <col min="9986" max="9986" width="11.85546875" style="3" customWidth="1"/>
    <col min="9987" max="10003" width="9.140625" style="3" customWidth="1"/>
    <col min="10004" max="10239" width="9" style="3"/>
    <col min="10240" max="10240" width="5.140625" style="3" customWidth="1"/>
    <col min="10241" max="10241" width="19.85546875" style="3" customWidth="1"/>
    <col min="10242" max="10242" width="11.85546875" style="3" customWidth="1"/>
    <col min="10243" max="10259" width="9.140625" style="3" customWidth="1"/>
    <col min="10260" max="10495" width="9" style="3"/>
    <col min="10496" max="10496" width="5.140625" style="3" customWidth="1"/>
    <col min="10497" max="10497" width="19.85546875" style="3" customWidth="1"/>
    <col min="10498" max="10498" width="11.85546875" style="3" customWidth="1"/>
    <col min="10499" max="10515" width="9.140625" style="3" customWidth="1"/>
    <col min="10516" max="10751" width="9" style="3"/>
    <col min="10752" max="10752" width="5.140625" style="3" customWidth="1"/>
    <col min="10753" max="10753" width="19.85546875" style="3" customWidth="1"/>
    <col min="10754" max="10754" width="11.85546875" style="3" customWidth="1"/>
    <col min="10755" max="10771" width="9.140625" style="3" customWidth="1"/>
    <col min="10772" max="11007" width="9" style="3"/>
    <col min="11008" max="11008" width="5.140625" style="3" customWidth="1"/>
    <col min="11009" max="11009" width="19.85546875" style="3" customWidth="1"/>
    <col min="11010" max="11010" width="11.85546875" style="3" customWidth="1"/>
    <col min="11011" max="11027" width="9.140625" style="3" customWidth="1"/>
    <col min="11028" max="11263" width="9" style="3"/>
    <col min="11264" max="11264" width="5.140625" style="3" customWidth="1"/>
    <col min="11265" max="11265" width="19.85546875" style="3" customWidth="1"/>
    <col min="11266" max="11266" width="11.85546875" style="3" customWidth="1"/>
    <col min="11267" max="11283" width="9.140625" style="3" customWidth="1"/>
    <col min="11284" max="11519" width="9" style="3"/>
    <col min="11520" max="11520" width="5.140625" style="3" customWidth="1"/>
    <col min="11521" max="11521" width="19.85546875" style="3" customWidth="1"/>
    <col min="11522" max="11522" width="11.85546875" style="3" customWidth="1"/>
    <col min="11523" max="11539" width="9.140625" style="3" customWidth="1"/>
    <col min="11540" max="11775" width="9" style="3"/>
    <col min="11776" max="11776" width="5.140625" style="3" customWidth="1"/>
    <col min="11777" max="11777" width="19.85546875" style="3" customWidth="1"/>
    <col min="11778" max="11778" width="11.85546875" style="3" customWidth="1"/>
    <col min="11779" max="11795" width="9.140625" style="3" customWidth="1"/>
    <col min="11796" max="12031" width="9" style="3"/>
    <col min="12032" max="12032" width="5.140625" style="3" customWidth="1"/>
    <col min="12033" max="12033" width="19.85546875" style="3" customWidth="1"/>
    <col min="12034" max="12034" width="11.85546875" style="3" customWidth="1"/>
    <col min="12035" max="12051" width="9.140625" style="3" customWidth="1"/>
    <col min="12052" max="12287" width="9" style="3"/>
    <col min="12288" max="12288" width="5.140625" style="3" customWidth="1"/>
    <col min="12289" max="12289" width="19.85546875" style="3" customWidth="1"/>
    <col min="12290" max="12290" width="11.85546875" style="3" customWidth="1"/>
    <col min="12291" max="12307" width="9.140625" style="3" customWidth="1"/>
    <col min="12308" max="12543" width="9" style="3"/>
    <col min="12544" max="12544" width="5.140625" style="3" customWidth="1"/>
    <col min="12545" max="12545" width="19.85546875" style="3" customWidth="1"/>
    <col min="12546" max="12546" width="11.85546875" style="3" customWidth="1"/>
    <col min="12547" max="12563" width="9.140625" style="3" customWidth="1"/>
    <col min="12564" max="12799" width="9" style="3"/>
    <col min="12800" max="12800" width="5.140625" style="3" customWidth="1"/>
    <col min="12801" max="12801" width="19.85546875" style="3" customWidth="1"/>
    <col min="12802" max="12802" width="11.85546875" style="3" customWidth="1"/>
    <col min="12803" max="12819" width="9.140625" style="3" customWidth="1"/>
    <col min="12820" max="13055" width="9" style="3"/>
    <col min="13056" max="13056" width="5.140625" style="3" customWidth="1"/>
    <col min="13057" max="13057" width="19.85546875" style="3" customWidth="1"/>
    <col min="13058" max="13058" width="11.85546875" style="3" customWidth="1"/>
    <col min="13059" max="13075" width="9.140625" style="3" customWidth="1"/>
    <col min="13076" max="13311" width="9" style="3"/>
    <col min="13312" max="13312" width="5.140625" style="3" customWidth="1"/>
    <col min="13313" max="13313" width="19.85546875" style="3" customWidth="1"/>
    <col min="13314" max="13314" width="11.85546875" style="3" customWidth="1"/>
    <col min="13315" max="13331" width="9.140625" style="3" customWidth="1"/>
    <col min="13332" max="13567" width="9" style="3"/>
    <col min="13568" max="13568" width="5.140625" style="3" customWidth="1"/>
    <col min="13569" max="13569" width="19.85546875" style="3" customWidth="1"/>
    <col min="13570" max="13570" width="11.85546875" style="3" customWidth="1"/>
    <col min="13571" max="13587" width="9.140625" style="3" customWidth="1"/>
    <col min="13588" max="13823" width="9" style="3"/>
    <col min="13824" max="13824" width="5.140625" style="3" customWidth="1"/>
    <col min="13825" max="13825" width="19.85546875" style="3" customWidth="1"/>
    <col min="13826" max="13826" width="11.85546875" style="3" customWidth="1"/>
    <col min="13827" max="13843" width="9.140625" style="3" customWidth="1"/>
    <col min="13844" max="14079" width="9" style="3"/>
    <col min="14080" max="14080" width="5.140625" style="3" customWidth="1"/>
    <col min="14081" max="14081" width="19.85546875" style="3" customWidth="1"/>
    <col min="14082" max="14082" width="11.85546875" style="3" customWidth="1"/>
    <col min="14083" max="14099" width="9.140625" style="3" customWidth="1"/>
    <col min="14100" max="14335" width="9" style="3"/>
    <col min="14336" max="14336" width="5.140625" style="3" customWidth="1"/>
    <col min="14337" max="14337" width="19.85546875" style="3" customWidth="1"/>
    <col min="14338" max="14338" width="11.85546875" style="3" customWidth="1"/>
    <col min="14339" max="14355" width="9.140625" style="3" customWidth="1"/>
    <col min="14356" max="14591" width="9" style="3"/>
    <col min="14592" max="14592" width="5.140625" style="3" customWidth="1"/>
    <col min="14593" max="14593" width="19.85546875" style="3" customWidth="1"/>
    <col min="14594" max="14594" width="11.85546875" style="3" customWidth="1"/>
    <col min="14595" max="14611" width="9.140625" style="3" customWidth="1"/>
    <col min="14612" max="14847" width="9" style="3"/>
    <col min="14848" max="14848" width="5.140625" style="3" customWidth="1"/>
    <col min="14849" max="14849" width="19.85546875" style="3" customWidth="1"/>
    <col min="14850" max="14850" width="11.85546875" style="3" customWidth="1"/>
    <col min="14851" max="14867" width="9.140625" style="3" customWidth="1"/>
    <col min="14868" max="15103" width="9" style="3"/>
    <col min="15104" max="15104" width="5.140625" style="3" customWidth="1"/>
    <col min="15105" max="15105" width="19.85546875" style="3" customWidth="1"/>
    <col min="15106" max="15106" width="11.85546875" style="3" customWidth="1"/>
    <col min="15107" max="15123" width="9.140625" style="3" customWidth="1"/>
    <col min="15124" max="15359" width="9" style="3"/>
    <col min="15360" max="15360" width="5.140625" style="3" customWidth="1"/>
    <col min="15361" max="15361" width="19.85546875" style="3" customWidth="1"/>
    <col min="15362" max="15362" width="11.85546875" style="3" customWidth="1"/>
    <col min="15363" max="15379" width="9.140625" style="3" customWidth="1"/>
    <col min="15380" max="15615" width="9" style="3"/>
    <col min="15616" max="15616" width="5.140625" style="3" customWidth="1"/>
    <col min="15617" max="15617" width="19.85546875" style="3" customWidth="1"/>
    <col min="15618" max="15618" width="11.85546875" style="3" customWidth="1"/>
    <col min="15619" max="15635" width="9.140625" style="3" customWidth="1"/>
    <col min="15636" max="15871" width="9" style="3"/>
    <col min="15872" max="15872" width="5.140625" style="3" customWidth="1"/>
    <col min="15873" max="15873" width="19.85546875" style="3" customWidth="1"/>
    <col min="15874" max="15874" width="11.85546875" style="3" customWidth="1"/>
    <col min="15875" max="15891" width="9.140625" style="3" customWidth="1"/>
    <col min="15892" max="16127" width="9" style="3"/>
    <col min="16128" max="16128" width="5.140625" style="3" customWidth="1"/>
    <col min="16129" max="16129" width="19.85546875" style="3" customWidth="1"/>
    <col min="16130" max="16130" width="11.85546875" style="3" customWidth="1"/>
    <col min="16131" max="16147" width="9.140625" style="3" customWidth="1"/>
    <col min="16148" max="16384" width="9" style="3"/>
  </cols>
  <sheetData>
    <row r="1" spans="1:21" ht="34.5" thickBot="1" x14ac:dyDescent="0.3">
      <c r="A1" s="176" t="s">
        <v>69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8"/>
      <c r="T1" s="1"/>
      <c r="U1" s="1"/>
    </row>
    <row r="2" spans="1:21" ht="174" customHeight="1" thickBot="1" x14ac:dyDescent="0.3">
      <c r="A2" s="4" t="s">
        <v>0</v>
      </c>
      <c r="B2" s="5" t="s">
        <v>1</v>
      </c>
      <c r="C2" s="6" t="s">
        <v>2</v>
      </c>
      <c r="D2" s="7" t="s">
        <v>70</v>
      </c>
      <c r="E2" s="8" t="s">
        <v>71</v>
      </c>
      <c r="F2" s="7" t="s">
        <v>79</v>
      </c>
      <c r="G2" s="7" t="s">
        <v>80</v>
      </c>
      <c r="H2" s="7" t="s">
        <v>95</v>
      </c>
      <c r="I2" s="7" t="s">
        <v>94</v>
      </c>
      <c r="J2" s="8" t="s">
        <v>113</v>
      </c>
      <c r="K2" s="8" t="s">
        <v>114</v>
      </c>
      <c r="L2" s="8" t="s">
        <v>144</v>
      </c>
      <c r="M2" s="8" t="s">
        <v>145</v>
      </c>
      <c r="N2" s="8" t="s">
        <v>146</v>
      </c>
      <c r="O2" s="8" t="s">
        <v>148</v>
      </c>
      <c r="P2" s="8" t="s">
        <v>149</v>
      </c>
      <c r="Q2" s="7" t="s">
        <v>170</v>
      </c>
      <c r="R2" s="8" t="s">
        <v>171</v>
      </c>
      <c r="S2" s="9" t="s">
        <v>3</v>
      </c>
      <c r="T2" s="10"/>
      <c r="U2" s="10"/>
    </row>
    <row r="3" spans="1:21" x14ac:dyDescent="0.25">
      <c r="A3" s="80" t="s">
        <v>4</v>
      </c>
      <c r="B3" s="14" t="s">
        <v>55</v>
      </c>
      <c r="C3" s="15" t="s">
        <v>7</v>
      </c>
      <c r="D3" s="136">
        <f>100-(107.35-107.03)/107.03*50</f>
        <v>99.850509203027187</v>
      </c>
      <c r="E3" s="136">
        <f>100-(79.8-73.75)/73.75*50</f>
        <v>95.898305084745772</v>
      </c>
      <c r="F3" s="184"/>
      <c r="G3" s="17"/>
      <c r="H3" s="136">
        <f>100-(48.68-39.4)/39.4*50</f>
        <v>88.223350253807098</v>
      </c>
      <c r="I3" s="136">
        <f>100-(81.67-77.05)/77.05*50</f>
        <v>97.001946787800122</v>
      </c>
      <c r="J3" s="136">
        <f>100-(38.83-37.52)/37.52*50</f>
        <v>98.254264392324103</v>
      </c>
      <c r="K3" s="17">
        <f>100-(63.85-63.85)/63.85*50</f>
        <v>100</v>
      </c>
      <c r="L3" s="17">
        <f>100-(66.12-66.12)/66.12*50</f>
        <v>100</v>
      </c>
      <c r="M3" s="136">
        <f>100-(24.62-24.27)/24.27*50</f>
        <v>99.278945199835178</v>
      </c>
      <c r="N3" s="17">
        <f>100-(112.58-112.58)/112.58*50</f>
        <v>100</v>
      </c>
      <c r="O3" s="17">
        <f>100-(41.92-41.92)/41.92*50</f>
        <v>100</v>
      </c>
      <c r="P3" s="17">
        <f>100-(99.1-99.1)/99.1*50</f>
        <v>100</v>
      </c>
      <c r="Q3" s="17">
        <f>100-(51.1-51.1)/51.1*50</f>
        <v>100</v>
      </c>
      <c r="R3" s="17">
        <f>100-(46.03-46.03)/46.03*50</f>
        <v>100</v>
      </c>
      <c r="S3" s="20">
        <f>SUM(D3:R3)-E3-H3-I3-J3-D3-M3</f>
        <v>700.00000000000023</v>
      </c>
    </row>
    <row r="4" spans="1:21" x14ac:dyDescent="0.25">
      <c r="A4" s="22" t="s">
        <v>6</v>
      </c>
      <c r="B4" s="23" t="s">
        <v>50</v>
      </c>
      <c r="C4" s="24" t="s">
        <v>22</v>
      </c>
      <c r="D4" s="25">
        <f>100-(107.03-107.03)/107.03*50</f>
        <v>100</v>
      </c>
      <c r="E4" s="25">
        <f>100-(73.75-73.75)/73.75*50</f>
        <v>100</v>
      </c>
      <c r="F4" s="130">
        <f>100-(31.32-27.93)/27.93*50</f>
        <v>93.931256713211596</v>
      </c>
      <c r="G4" s="105" t="s">
        <v>12</v>
      </c>
      <c r="H4" s="25">
        <f>100-(39.4-39.4)/39.4*50</f>
        <v>100</v>
      </c>
      <c r="I4" s="25">
        <f>100-(77.05-77.05)/77.05*50</f>
        <v>100</v>
      </c>
      <c r="J4" s="25"/>
      <c r="K4" s="25"/>
      <c r="L4" s="130">
        <f>100-(72.6-66.12)/66.12*50</f>
        <v>95.099818511796741</v>
      </c>
      <c r="M4" s="25">
        <f>100-(24.27-24.27)/24.27*50</f>
        <v>100</v>
      </c>
      <c r="N4" s="25">
        <f>100-(115.08-112.58)/112.58*50</f>
        <v>98.889678450879373</v>
      </c>
      <c r="O4" s="130">
        <f>100-(44.35-41.92)/41.92*50</f>
        <v>97.101622137404576</v>
      </c>
      <c r="P4" s="130">
        <f>100-(104.82-99.1)/99.1*50</f>
        <v>97.114026236125127</v>
      </c>
      <c r="Q4" s="25">
        <f>100-(51.55-51.1)/51.1*50</f>
        <v>99.55968688845401</v>
      </c>
      <c r="R4" s="130">
        <f>100-(101.73-46.03)/46.03*50</f>
        <v>39.495980882033457</v>
      </c>
      <c r="S4" s="26">
        <f>SUM(D4:R4)-F4-L4-O4-P4-R4</f>
        <v>698.44936533933378</v>
      </c>
    </row>
    <row r="5" spans="1:21" x14ac:dyDescent="0.25">
      <c r="A5" s="22" t="s">
        <v>8</v>
      </c>
      <c r="B5" s="23" t="s">
        <v>52</v>
      </c>
      <c r="C5" s="24" t="s">
        <v>42</v>
      </c>
      <c r="D5" s="25">
        <f>100-(107.62-107.03)/107.03*50</f>
        <v>99.724376343081374</v>
      </c>
      <c r="E5" s="25">
        <f>100-(76.23-73.75)/73.75*50</f>
        <v>98.318644067796612</v>
      </c>
      <c r="F5" s="130">
        <f>100-(32.62-27.93)/27.93*50</f>
        <v>91.604010025062664</v>
      </c>
      <c r="G5" s="130">
        <f>100-(88.92-73.68)/73.68*50</f>
        <v>89.657980456026067</v>
      </c>
      <c r="H5" s="130">
        <f>100-(51.63-39.4)/39.4*50</f>
        <v>84.479695431472081</v>
      </c>
      <c r="I5" s="130">
        <f>100-(106.97-77.05)/77.05*50</f>
        <v>80.584036340038935</v>
      </c>
      <c r="J5" s="18">
        <f>100-(41.85-37.52)/37.52*50</f>
        <v>94.229744136460553</v>
      </c>
      <c r="K5" s="18">
        <f>100-(67.43-63.85)/63.85*50</f>
        <v>97.196554424432264</v>
      </c>
      <c r="L5" s="25">
        <f>100-(70.53-66.12)/66.12*50</f>
        <v>96.665154264972784</v>
      </c>
      <c r="M5" s="130">
        <f>100-(27.4-24.27)/24.27*50</f>
        <v>93.551709929954683</v>
      </c>
      <c r="N5" s="25">
        <f>100-(124.5-112.58)/112.58*50</f>
        <v>94.705986853792865</v>
      </c>
      <c r="O5" s="130">
        <f>100-(49.85-41.92)/41.92*50</f>
        <v>90.541507633587784</v>
      </c>
      <c r="P5" s="25">
        <f>100-(107.75-99.1)/99.1*50</f>
        <v>95.635721493440968</v>
      </c>
      <c r="Q5" s="130">
        <f>100-(60.35-51.1)/51.1*50</f>
        <v>90.949119373776909</v>
      </c>
      <c r="R5" s="130">
        <f>100-(60.23-46.03)/46.03*50</f>
        <v>84.575276993265263</v>
      </c>
      <c r="S5" s="26">
        <f>SUM(D5:R5)-I5-F5-G5-M5-H5-O5-Q5-R5</f>
        <v>676.47618158397756</v>
      </c>
    </row>
    <row r="6" spans="1:21" x14ac:dyDescent="0.25">
      <c r="A6" s="22" t="s">
        <v>11</v>
      </c>
      <c r="B6" s="23" t="s">
        <v>102</v>
      </c>
      <c r="C6" s="24" t="s">
        <v>103</v>
      </c>
      <c r="D6" s="25"/>
      <c r="E6" s="25"/>
      <c r="F6" s="18"/>
      <c r="G6" s="25"/>
      <c r="H6" s="25">
        <f>100-(44.17-39.4)/39.4*50</f>
        <v>93.94670050761421</v>
      </c>
      <c r="I6" s="18">
        <f>100-(96.57-77.05)/77.05*50</f>
        <v>87.332900713822198</v>
      </c>
      <c r="J6" s="18">
        <f>100-(39.22-37.52)/37.52*50</f>
        <v>97.734541577825169</v>
      </c>
      <c r="K6" s="18">
        <f>100-(67.82-63.85)/63.85*50</f>
        <v>96.891151135473777</v>
      </c>
      <c r="L6" s="18"/>
      <c r="M6" s="18"/>
      <c r="N6" s="25"/>
      <c r="O6" s="25">
        <f>100-(47.35-41.92)/41.92*50</f>
        <v>93.523377862595424</v>
      </c>
      <c r="P6" s="25">
        <f>100-(103.85-99.1)/99.1*50</f>
        <v>97.603430877901104</v>
      </c>
      <c r="Q6" s="130">
        <f>100-(106.35-51.1)/51.1*50</f>
        <v>45.939334637964777</v>
      </c>
      <c r="R6" s="25">
        <f>100-(51.1-46.03)/46.03*50</f>
        <v>94.492722137736266</v>
      </c>
      <c r="S6" s="26">
        <f>SUM(D6:R6)-Q6</f>
        <v>661.52482481296806</v>
      </c>
    </row>
    <row r="7" spans="1:21" x14ac:dyDescent="0.25">
      <c r="A7" s="22" t="s">
        <v>13</v>
      </c>
      <c r="B7" s="23" t="s">
        <v>53</v>
      </c>
      <c r="C7" s="24" t="s">
        <v>54</v>
      </c>
      <c r="D7" s="36">
        <f>100-(128.77-107.03)/107.03*50</f>
        <v>89.843968980659625</v>
      </c>
      <c r="E7" s="18">
        <f>100-(94.02-73.75)/73.75*50</f>
        <v>86.257627118644066</v>
      </c>
      <c r="F7" s="71"/>
      <c r="G7" s="21"/>
      <c r="H7" s="18"/>
      <c r="I7" s="57"/>
      <c r="J7" s="18">
        <f>100-(43.43-37.52)/37.52*50</f>
        <v>92.124200426439231</v>
      </c>
      <c r="K7" s="18">
        <f>100-(87.95-63.85)/63.85*50</f>
        <v>81.127642913077523</v>
      </c>
      <c r="L7" s="18"/>
      <c r="M7" s="18"/>
      <c r="N7" s="18"/>
      <c r="O7" s="25">
        <f>100-(77.82-41.92)/41.92*50</f>
        <v>57.180343511450396</v>
      </c>
      <c r="P7" s="25"/>
      <c r="Q7" s="25"/>
      <c r="R7" s="25"/>
      <c r="S7" s="26">
        <f t="shared" ref="S7:S14" si="0">SUM(D7:R7)</f>
        <v>406.53378295027085</v>
      </c>
    </row>
    <row r="8" spans="1:21" x14ac:dyDescent="0.25">
      <c r="A8" s="22" t="s">
        <v>15</v>
      </c>
      <c r="B8" s="23" t="s">
        <v>127</v>
      </c>
      <c r="C8" s="24" t="s">
        <v>103</v>
      </c>
      <c r="D8" s="57"/>
      <c r="E8" s="25"/>
      <c r="F8" s="95"/>
      <c r="G8" s="95"/>
      <c r="H8" s="18"/>
      <c r="I8" s="25"/>
      <c r="J8" s="18">
        <f>100-(43.8-37.52)/37.52*50</f>
        <v>91.631130063965898</v>
      </c>
      <c r="K8" s="18">
        <f>100-(68.4-63.85)/63.85*50</f>
        <v>96.436961628817542</v>
      </c>
      <c r="L8" s="18"/>
      <c r="M8" s="128"/>
      <c r="N8" s="25"/>
      <c r="O8" s="25"/>
      <c r="P8" s="25"/>
      <c r="Q8" s="25">
        <f>100-(65.77-51.1)/51.1*50</f>
        <v>85.645792563600793</v>
      </c>
      <c r="R8" s="18">
        <f>100-(64.33-46.03)/46.03*50</f>
        <v>80.121659787095382</v>
      </c>
      <c r="S8" s="26">
        <f t="shared" si="0"/>
        <v>353.83554404347962</v>
      </c>
    </row>
    <row r="9" spans="1:21" x14ac:dyDescent="0.25">
      <c r="A9" s="22" t="s">
        <v>18</v>
      </c>
      <c r="B9" s="23" t="s">
        <v>82</v>
      </c>
      <c r="C9" s="24" t="s">
        <v>56</v>
      </c>
      <c r="D9" s="35"/>
      <c r="E9" s="18"/>
      <c r="F9" s="18">
        <f>100-(27.93-27.93)/27.93*50</f>
        <v>100</v>
      </c>
      <c r="G9" s="95"/>
      <c r="H9" s="25"/>
      <c r="I9" s="18"/>
      <c r="J9" s="18">
        <f>100-(37.52-37.52)/37.52*50</f>
        <v>100</v>
      </c>
      <c r="K9" s="18">
        <f>100-(66.48-63.85)/63.85*50</f>
        <v>97.940485512920901</v>
      </c>
      <c r="L9" s="18"/>
      <c r="M9" s="18"/>
      <c r="N9" s="18"/>
      <c r="O9" s="18"/>
      <c r="P9" s="18"/>
      <c r="Q9" s="18"/>
      <c r="R9" s="18"/>
      <c r="S9" s="26">
        <f t="shared" si="0"/>
        <v>297.94048551292087</v>
      </c>
    </row>
    <row r="10" spans="1:21" x14ac:dyDescent="0.25">
      <c r="A10" s="22" t="s">
        <v>20</v>
      </c>
      <c r="B10" s="23" t="s">
        <v>57</v>
      </c>
      <c r="C10" s="24" t="s">
        <v>56</v>
      </c>
      <c r="D10" s="57"/>
      <c r="E10" s="57"/>
      <c r="F10" s="38"/>
      <c r="G10" s="18">
        <f>100-(100.07-73.68)/73.68*50</f>
        <v>82.091476655808918</v>
      </c>
      <c r="H10" s="57"/>
      <c r="I10" s="25"/>
      <c r="J10" s="21"/>
      <c r="K10" s="21"/>
      <c r="L10" s="18"/>
      <c r="M10" s="18"/>
      <c r="N10" s="18">
        <f>100-(137-112.58)/112.58*50</f>
        <v>89.15437910818973</v>
      </c>
      <c r="O10" s="18"/>
      <c r="P10" s="25">
        <f>100-(136.23-99.1)/99.1*50</f>
        <v>81.266397578203836</v>
      </c>
      <c r="Q10" s="25"/>
      <c r="R10" s="57"/>
      <c r="S10" s="26">
        <f t="shared" si="0"/>
        <v>252.51225334220248</v>
      </c>
    </row>
    <row r="11" spans="1:21" x14ac:dyDescent="0.25">
      <c r="A11" s="22" t="s">
        <v>23</v>
      </c>
      <c r="B11" s="96" t="s">
        <v>21</v>
      </c>
      <c r="C11" s="24" t="s">
        <v>22</v>
      </c>
      <c r="D11" s="98"/>
      <c r="E11" s="57"/>
      <c r="F11" s="25">
        <f>100-(32.42-27.93)/27.93*50</f>
        <v>91.962047977085575</v>
      </c>
      <c r="G11" s="25">
        <f>100-(73.68-73.68)/73.68*50</f>
        <v>100</v>
      </c>
      <c r="H11" s="58"/>
      <c r="I11" s="25"/>
      <c r="J11" s="21"/>
      <c r="K11" s="21"/>
      <c r="L11" s="18"/>
      <c r="M11" s="18"/>
      <c r="N11" s="99"/>
      <c r="O11" s="99"/>
      <c r="P11" s="25"/>
      <c r="Q11" s="25"/>
      <c r="R11" s="25"/>
      <c r="S11" s="26">
        <f t="shared" si="0"/>
        <v>191.96204797708558</v>
      </c>
    </row>
    <row r="12" spans="1:21" x14ac:dyDescent="0.25">
      <c r="A12" s="22" t="s">
        <v>26</v>
      </c>
      <c r="B12" s="96" t="s">
        <v>128</v>
      </c>
      <c r="C12" s="97"/>
      <c r="D12" s="98"/>
      <c r="E12" s="25"/>
      <c r="F12" s="71"/>
      <c r="G12" s="25"/>
      <c r="H12" s="58"/>
      <c r="I12" s="57"/>
      <c r="J12" s="18">
        <f>100-(53.22-37.52)/37.52*50</f>
        <v>79.077825159914724</v>
      </c>
      <c r="K12" s="18">
        <f>100-(91.48-63.85)/63.85*50</f>
        <v>78.363351605324979</v>
      </c>
      <c r="L12" s="18"/>
      <c r="M12" s="18"/>
      <c r="N12" s="21"/>
      <c r="O12" s="21"/>
      <c r="P12" s="57"/>
      <c r="Q12" s="57"/>
      <c r="R12" s="57"/>
      <c r="S12" s="26">
        <f t="shared" si="0"/>
        <v>157.4411767652397</v>
      </c>
    </row>
    <row r="13" spans="1:21" x14ac:dyDescent="0.25">
      <c r="A13" s="22" t="s">
        <v>27</v>
      </c>
      <c r="B13" s="23" t="s">
        <v>131</v>
      </c>
      <c r="C13" s="24" t="s">
        <v>143</v>
      </c>
      <c r="D13" s="35"/>
      <c r="E13" s="21"/>
      <c r="F13" s="38"/>
      <c r="G13" s="21"/>
      <c r="H13" s="21"/>
      <c r="I13" s="18"/>
      <c r="J13" s="21"/>
      <c r="K13" s="21"/>
      <c r="L13" s="25">
        <f>100-(116.62-66.12)/66.12*50</f>
        <v>61.811857229280101</v>
      </c>
      <c r="M13" s="25">
        <f>100-(58.4-24.27)/24.27*50</f>
        <v>29.686856201071294</v>
      </c>
      <c r="N13" s="18">
        <f>100-(221.5-112.58)/112.58*50</f>
        <v>51.625510747912593</v>
      </c>
      <c r="O13" s="18"/>
      <c r="P13" s="18"/>
      <c r="Q13" s="18"/>
      <c r="R13" s="21"/>
      <c r="S13" s="26">
        <f t="shared" si="0"/>
        <v>143.12422417826397</v>
      </c>
    </row>
    <row r="14" spans="1:21" ht="15.75" thickBot="1" x14ac:dyDescent="0.3">
      <c r="A14" s="39" t="s">
        <v>29</v>
      </c>
      <c r="B14" s="40" t="s">
        <v>156</v>
      </c>
      <c r="C14" s="41" t="s">
        <v>66</v>
      </c>
      <c r="D14" s="60"/>
      <c r="E14" s="43"/>
      <c r="F14" s="72"/>
      <c r="G14" s="43"/>
      <c r="H14" s="61"/>
      <c r="I14" s="61"/>
      <c r="J14" s="61"/>
      <c r="K14" s="61"/>
      <c r="L14" s="43"/>
      <c r="M14" s="43"/>
      <c r="N14" s="61"/>
      <c r="O14" s="46">
        <f>100-(73.58-41.92)/41.92*50</f>
        <v>62.237595419847338</v>
      </c>
      <c r="P14" s="43"/>
      <c r="Q14" s="43"/>
      <c r="R14" s="61"/>
      <c r="S14" s="107">
        <f t="shared" si="0"/>
        <v>62.237595419847338</v>
      </c>
    </row>
    <row r="15" spans="1:21" x14ac:dyDescent="0.25">
      <c r="A15" s="2"/>
      <c r="B15" s="2"/>
      <c r="C15" s="2"/>
      <c r="D15" s="2"/>
      <c r="E15" s="2"/>
      <c r="F15" s="52"/>
      <c r="G15" s="2"/>
      <c r="H15" s="2"/>
      <c r="I15" s="2"/>
      <c r="J15" s="2"/>
      <c r="K15" s="2"/>
      <c r="L15" s="2"/>
      <c r="M15" s="79"/>
      <c r="N15" s="2"/>
      <c r="O15" s="2"/>
      <c r="P15" s="2"/>
      <c r="Q15" s="2"/>
      <c r="R15" s="2"/>
      <c r="S15" s="51"/>
    </row>
    <row r="16" spans="1:21" x14ac:dyDescent="0.25">
      <c r="A16" s="2"/>
      <c r="B16" s="2"/>
      <c r="C16" s="2"/>
      <c r="D16" s="2"/>
      <c r="E16" s="2"/>
      <c r="F16" s="52"/>
      <c r="G16" s="2"/>
      <c r="H16" s="2"/>
      <c r="I16" s="2"/>
      <c r="J16" s="2"/>
      <c r="K16" s="2"/>
      <c r="L16" s="2"/>
      <c r="M16" s="2"/>
      <c r="N16" s="48"/>
      <c r="O16" s="48"/>
      <c r="P16" s="48"/>
      <c r="Q16" s="48"/>
      <c r="R16" s="2"/>
      <c r="S16" s="51"/>
    </row>
    <row r="17" spans="1:19" x14ac:dyDescent="0.25">
      <c r="A17" s="2"/>
      <c r="B17" s="2"/>
      <c r="C17" s="2"/>
      <c r="D17" s="2"/>
      <c r="E17" s="2"/>
      <c r="F17" s="5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s="53" customFormat="1" x14ac:dyDescent="0.25">
      <c r="A18" s="53" t="s">
        <v>36</v>
      </c>
    </row>
    <row r="19" spans="1:19" s="54" customFormat="1" x14ac:dyDescent="0.25">
      <c r="A19" s="54" t="s">
        <v>37</v>
      </c>
    </row>
  </sheetData>
  <sortState ref="B3:S14">
    <sortCondition descending="1" ref="S3"/>
  </sortState>
  <mergeCells count="1">
    <mergeCell ref="A1:S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workbookViewId="0">
      <selection activeCell="I18" sqref="I18"/>
    </sheetView>
  </sheetViews>
  <sheetFormatPr defaultColWidth="9" defaultRowHeight="15" x14ac:dyDescent="0.25"/>
  <cols>
    <col min="1" max="1" width="5.140625" style="3" customWidth="1"/>
    <col min="2" max="2" width="25.28515625" style="3" customWidth="1"/>
    <col min="3" max="3" width="11.85546875" style="3" customWidth="1"/>
    <col min="4" max="5" width="9.140625" style="3" customWidth="1"/>
    <col min="6" max="6" width="9.140625" style="55" customWidth="1"/>
    <col min="7" max="19" width="9.140625" style="3" customWidth="1"/>
    <col min="20" max="29" width="9" style="2"/>
    <col min="30" max="255" width="9" style="3"/>
    <col min="256" max="256" width="5.140625" style="3" customWidth="1"/>
    <col min="257" max="257" width="25.28515625" style="3" customWidth="1"/>
    <col min="258" max="258" width="11.85546875" style="3" customWidth="1"/>
    <col min="259" max="275" width="9.140625" style="3" customWidth="1"/>
    <col min="276" max="511" width="9" style="3"/>
    <col min="512" max="512" width="5.140625" style="3" customWidth="1"/>
    <col min="513" max="513" width="25.28515625" style="3" customWidth="1"/>
    <col min="514" max="514" width="11.85546875" style="3" customWidth="1"/>
    <col min="515" max="531" width="9.140625" style="3" customWidth="1"/>
    <col min="532" max="767" width="9" style="3"/>
    <col min="768" max="768" width="5.140625" style="3" customWidth="1"/>
    <col min="769" max="769" width="25.28515625" style="3" customWidth="1"/>
    <col min="770" max="770" width="11.85546875" style="3" customWidth="1"/>
    <col min="771" max="787" width="9.140625" style="3" customWidth="1"/>
    <col min="788" max="1023" width="9" style="3"/>
    <col min="1024" max="1024" width="5.140625" style="3" customWidth="1"/>
    <col min="1025" max="1025" width="25.28515625" style="3" customWidth="1"/>
    <col min="1026" max="1026" width="11.85546875" style="3" customWidth="1"/>
    <col min="1027" max="1043" width="9.140625" style="3" customWidth="1"/>
    <col min="1044" max="1279" width="9" style="3"/>
    <col min="1280" max="1280" width="5.140625" style="3" customWidth="1"/>
    <col min="1281" max="1281" width="25.28515625" style="3" customWidth="1"/>
    <col min="1282" max="1282" width="11.85546875" style="3" customWidth="1"/>
    <col min="1283" max="1299" width="9.140625" style="3" customWidth="1"/>
    <col min="1300" max="1535" width="9" style="3"/>
    <col min="1536" max="1536" width="5.140625" style="3" customWidth="1"/>
    <col min="1537" max="1537" width="25.28515625" style="3" customWidth="1"/>
    <col min="1538" max="1538" width="11.85546875" style="3" customWidth="1"/>
    <col min="1539" max="1555" width="9.140625" style="3" customWidth="1"/>
    <col min="1556" max="1791" width="9" style="3"/>
    <col min="1792" max="1792" width="5.140625" style="3" customWidth="1"/>
    <col min="1793" max="1793" width="25.28515625" style="3" customWidth="1"/>
    <col min="1794" max="1794" width="11.85546875" style="3" customWidth="1"/>
    <col min="1795" max="1811" width="9.140625" style="3" customWidth="1"/>
    <col min="1812" max="2047" width="9" style="3"/>
    <col min="2048" max="2048" width="5.140625" style="3" customWidth="1"/>
    <col min="2049" max="2049" width="25.28515625" style="3" customWidth="1"/>
    <col min="2050" max="2050" width="11.85546875" style="3" customWidth="1"/>
    <col min="2051" max="2067" width="9.140625" style="3" customWidth="1"/>
    <col min="2068" max="2303" width="9" style="3"/>
    <col min="2304" max="2304" width="5.140625" style="3" customWidth="1"/>
    <col min="2305" max="2305" width="25.28515625" style="3" customWidth="1"/>
    <col min="2306" max="2306" width="11.85546875" style="3" customWidth="1"/>
    <col min="2307" max="2323" width="9.140625" style="3" customWidth="1"/>
    <col min="2324" max="2559" width="9" style="3"/>
    <col min="2560" max="2560" width="5.140625" style="3" customWidth="1"/>
    <col min="2561" max="2561" width="25.28515625" style="3" customWidth="1"/>
    <col min="2562" max="2562" width="11.85546875" style="3" customWidth="1"/>
    <col min="2563" max="2579" width="9.140625" style="3" customWidth="1"/>
    <col min="2580" max="2815" width="9" style="3"/>
    <col min="2816" max="2816" width="5.140625" style="3" customWidth="1"/>
    <col min="2817" max="2817" width="25.28515625" style="3" customWidth="1"/>
    <col min="2818" max="2818" width="11.85546875" style="3" customWidth="1"/>
    <col min="2819" max="2835" width="9.140625" style="3" customWidth="1"/>
    <col min="2836" max="3071" width="9" style="3"/>
    <col min="3072" max="3072" width="5.140625" style="3" customWidth="1"/>
    <col min="3073" max="3073" width="25.28515625" style="3" customWidth="1"/>
    <col min="3074" max="3074" width="11.85546875" style="3" customWidth="1"/>
    <col min="3075" max="3091" width="9.140625" style="3" customWidth="1"/>
    <col min="3092" max="3327" width="9" style="3"/>
    <col min="3328" max="3328" width="5.140625" style="3" customWidth="1"/>
    <col min="3329" max="3329" width="25.28515625" style="3" customWidth="1"/>
    <col min="3330" max="3330" width="11.85546875" style="3" customWidth="1"/>
    <col min="3331" max="3347" width="9.140625" style="3" customWidth="1"/>
    <col min="3348" max="3583" width="9" style="3"/>
    <col min="3584" max="3584" width="5.140625" style="3" customWidth="1"/>
    <col min="3585" max="3585" width="25.28515625" style="3" customWidth="1"/>
    <col min="3586" max="3586" width="11.85546875" style="3" customWidth="1"/>
    <col min="3587" max="3603" width="9.140625" style="3" customWidth="1"/>
    <col min="3604" max="3839" width="9" style="3"/>
    <col min="3840" max="3840" width="5.140625" style="3" customWidth="1"/>
    <col min="3841" max="3841" width="25.28515625" style="3" customWidth="1"/>
    <col min="3842" max="3842" width="11.85546875" style="3" customWidth="1"/>
    <col min="3843" max="3859" width="9.140625" style="3" customWidth="1"/>
    <col min="3860" max="4095" width="9" style="3"/>
    <col min="4096" max="4096" width="5.140625" style="3" customWidth="1"/>
    <col min="4097" max="4097" width="25.28515625" style="3" customWidth="1"/>
    <col min="4098" max="4098" width="11.85546875" style="3" customWidth="1"/>
    <col min="4099" max="4115" width="9.140625" style="3" customWidth="1"/>
    <col min="4116" max="4351" width="9" style="3"/>
    <col min="4352" max="4352" width="5.140625" style="3" customWidth="1"/>
    <col min="4353" max="4353" width="25.28515625" style="3" customWidth="1"/>
    <col min="4354" max="4354" width="11.85546875" style="3" customWidth="1"/>
    <col min="4355" max="4371" width="9.140625" style="3" customWidth="1"/>
    <col min="4372" max="4607" width="9" style="3"/>
    <col min="4608" max="4608" width="5.140625" style="3" customWidth="1"/>
    <col min="4609" max="4609" width="25.28515625" style="3" customWidth="1"/>
    <col min="4610" max="4610" width="11.85546875" style="3" customWidth="1"/>
    <col min="4611" max="4627" width="9.140625" style="3" customWidth="1"/>
    <col min="4628" max="4863" width="9" style="3"/>
    <col min="4864" max="4864" width="5.140625" style="3" customWidth="1"/>
    <col min="4865" max="4865" width="25.28515625" style="3" customWidth="1"/>
    <col min="4866" max="4866" width="11.85546875" style="3" customWidth="1"/>
    <col min="4867" max="4883" width="9.140625" style="3" customWidth="1"/>
    <col min="4884" max="5119" width="9" style="3"/>
    <col min="5120" max="5120" width="5.140625" style="3" customWidth="1"/>
    <col min="5121" max="5121" width="25.28515625" style="3" customWidth="1"/>
    <col min="5122" max="5122" width="11.85546875" style="3" customWidth="1"/>
    <col min="5123" max="5139" width="9.140625" style="3" customWidth="1"/>
    <col min="5140" max="5375" width="9" style="3"/>
    <col min="5376" max="5376" width="5.140625" style="3" customWidth="1"/>
    <col min="5377" max="5377" width="25.28515625" style="3" customWidth="1"/>
    <col min="5378" max="5378" width="11.85546875" style="3" customWidth="1"/>
    <col min="5379" max="5395" width="9.140625" style="3" customWidth="1"/>
    <col min="5396" max="5631" width="9" style="3"/>
    <col min="5632" max="5632" width="5.140625" style="3" customWidth="1"/>
    <col min="5633" max="5633" width="25.28515625" style="3" customWidth="1"/>
    <col min="5634" max="5634" width="11.85546875" style="3" customWidth="1"/>
    <col min="5635" max="5651" width="9.140625" style="3" customWidth="1"/>
    <col min="5652" max="5887" width="9" style="3"/>
    <col min="5888" max="5888" width="5.140625" style="3" customWidth="1"/>
    <col min="5889" max="5889" width="25.28515625" style="3" customWidth="1"/>
    <col min="5890" max="5890" width="11.85546875" style="3" customWidth="1"/>
    <col min="5891" max="5907" width="9.140625" style="3" customWidth="1"/>
    <col min="5908" max="6143" width="9" style="3"/>
    <col min="6144" max="6144" width="5.140625" style="3" customWidth="1"/>
    <col min="6145" max="6145" width="25.28515625" style="3" customWidth="1"/>
    <col min="6146" max="6146" width="11.85546875" style="3" customWidth="1"/>
    <col min="6147" max="6163" width="9.140625" style="3" customWidth="1"/>
    <col min="6164" max="6399" width="9" style="3"/>
    <col min="6400" max="6400" width="5.140625" style="3" customWidth="1"/>
    <col min="6401" max="6401" width="25.28515625" style="3" customWidth="1"/>
    <col min="6402" max="6402" width="11.85546875" style="3" customWidth="1"/>
    <col min="6403" max="6419" width="9.140625" style="3" customWidth="1"/>
    <col min="6420" max="6655" width="9" style="3"/>
    <col min="6656" max="6656" width="5.140625" style="3" customWidth="1"/>
    <col min="6657" max="6657" width="25.28515625" style="3" customWidth="1"/>
    <col min="6658" max="6658" width="11.85546875" style="3" customWidth="1"/>
    <col min="6659" max="6675" width="9.140625" style="3" customWidth="1"/>
    <col min="6676" max="6911" width="9" style="3"/>
    <col min="6912" max="6912" width="5.140625" style="3" customWidth="1"/>
    <col min="6913" max="6913" width="25.28515625" style="3" customWidth="1"/>
    <col min="6914" max="6914" width="11.85546875" style="3" customWidth="1"/>
    <col min="6915" max="6931" width="9.140625" style="3" customWidth="1"/>
    <col min="6932" max="7167" width="9" style="3"/>
    <col min="7168" max="7168" width="5.140625" style="3" customWidth="1"/>
    <col min="7169" max="7169" width="25.28515625" style="3" customWidth="1"/>
    <col min="7170" max="7170" width="11.85546875" style="3" customWidth="1"/>
    <col min="7171" max="7187" width="9.140625" style="3" customWidth="1"/>
    <col min="7188" max="7423" width="9" style="3"/>
    <col min="7424" max="7424" width="5.140625" style="3" customWidth="1"/>
    <col min="7425" max="7425" width="25.28515625" style="3" customWidth="1"/>
    <col min="7426" max="7426" width="11.85546875" style="3" customWidth="1"/>
    <col min="7427" max="7443" width="9.140625" style="3" customWidth="1"/>
    <col min="7444" max="7679" width="9" style="3"/>
    <col min="7680" max="7680" width="5.140625" style="3" customWidth="1"/>
    <col min="7681" max="7681" width="25.28515625" style="3" customWidth="1"/>
    <col min="7682" max="7682" width="11.85546875" style="3" customWidth="1"/>
    <col min="7683" max="7699" width="9.140625" style="3" customWidth="1"/>
    <col min="7700" max="7935" width="9" style="3"/>
    <col min="7936" max="7936" width="5.140625" style="3" customWidth="1"/>
    <col min="7937" max="7937" width="25.28515625" style="3" customWidth="1"/>
    <col min="7938" max="7938" width="11.85546875" style="3" customWidth="1"/>
    <col min="7939" max="7955" width="9.140625" style="3" customWidth="1"/>
    <col min="7956" max="8191" width="9" style="3"/>
    <col min="8192" max="8192" width="5.140625" style="3" customWidth="1"/>
    <col min="8193" max="8193" width="25.28515625" style="3" customWidth="1"/>
    <col min="8194" max="8194" width="11.85546875" style="3" customWidth="1"/>
    <col min="8195" max="8211" width="9.140625" style="3" customWidth="1"/>
    <col min="8212" max="8447" width="9" style="3"/>
    <col min="8448" max="8448" width="5.140625" style="3" customWidth="1"/>
    <col min="8449" max="8449" width="25.28515625" style="3" customWidth="1"/>
    <col min="8450" max="8450" width="11.85546875" style="3" customWidth="1"/>
    <col min="8451" max="8467" width="9.140625" style="3" customWidth="1"/>
    <col min="8468" max="8703" width="9" style="3"/>
    <col min="8704" max="8704" width="5.140625" style="3" customWidth="1"/>
    <col min="8705" max="8705" width="25.28515625" style="3" customWidth="1"/>
    <col min="8706" max="8706" width="11.85546875" style="3" customWidth="1"/>
    <col min="8707" max="8723" width="9.140625" style="3" customWidth="1"/>
    <col min="8724" max="8959" width="9" style="3"/>
    <col min="8960" max="8960" width="5.140625" style="3" customWidth="1"/>
    <col min="8961" max="8961" width="25.28515625" style="3" customWidth="1"/>
    <col min="8962" max="8962" width="11.85546875" style="3" customWidth="1"/>
    <col min="8963" max="8979" width="9.140625" style="3" customWidth="1"/>
    <col min="8980" max="9215" width="9" style="3"/>
    <col min="9216" max="9216" width="5.140625" style="3" customWidth="1"/>
    <col min="9217" max="9217" width="25.28515625" style="3" customWidth="1"/>
    <col min="9218" max="9218" width="11.85546875" style="3" customWidth="1"/>
    <col min="9219" max="9235" width="9.140625" style="3" customWidth="1"/>
    <col min="9236" max="9471" width="9" style="3"/>
    <col min="9472" max="9472" width="5.140625" style="3" customWidth="1"/>
    <col min="9473" max="9473" width="25.28515625" style="3" customWidth="1"/>
    <col min="9474" max="9474" width="11.85546875" style="3" customWidth="1"/>
    <col min="9475" max="9491" width="9.140625" style="3" customWidth="1"/>
    <col min="9492" max="9727" width="9" style="3"/>
    <col min="9728" max="9728" width="5.140625" style="3" customWidth="1"/>
    <col min="9729" max="9729" width="25.28515625" style="3" customWidth="1"/>
    <col min="9730" max="9730" width="11.85546875" style="3" customWidth="1"/>
    <col min="9731" max="9747" width="9.140625" style="3" customWidth="1"/>
    <col min="9748" max="9983" width="9" style="3"/>
    <col min="9984" max="9984" width="5.140625" style="3" customWidth="1"/>
    <col min="9985" max="9985" width="25.28515625" style="3" customWidth="1"/>
    <col min="9986" max="9986" width="11.85546875" style="3" customWidth="1"/>
    <col min="9987" max="10003" width="9.140625" style="3" customWidth="1"/>
    <col min="10004" max="10239" width="9" style="3"/>
    <col min="10240" max="10240" width="5.140625" style="3" customWidth="1"/>
    <col min="10241" max="10241" width="25.28515625" style="3" customWidth="1"/>
    <col min="10242" max="10242" width="11.85546875" style="3" customWidth="1"/>
    <col min="10243" max="10259" width="9.140625" style="3" customWidth="1"/>
    <col min="10260" max="10495" width="9" style="3"/>
    <col min="10496" max="10496" width="5.140625" style="3" customWidth="1"/>
    <col min="10497" max="10497" width="25.28515625" style="3" customWidth="1"/>
    <col min="10498" max="10498" width="11.85546875" style="3" customWidth="1"/>
    <col min="10499" max="10515" width="9.140625" style="3" customWidth="1"/>
    <col min="10516" max="10751" width="9" style="3"/>
    <col min="10752" max="10752" width="5.140625" style="3" customWidth="1"/>
    <col min="10753" max="10753" width="25.28515625" style="3" customWidth="1"/>
    <col min="10754" max="10754" width="11.85546875" style="3" customWidth="1"/>
    <col min="10755" max="10771" width="9.140625" style="3" customWidth="1"/>
    <col min="10772" max="11007" width="9" style="3"/>
    <col min="11008" max="11008" width="5.140625" style="3" customWidth="1"/>
    <col min="11009" max="11009" width="25.28515625" style="3" customWidth="1"/>
    <col min="11010" max="11010" width="11.85546875" style="3" customWidth="1"/>
    <col min="11011" max="11027" width="9.140625" style="3" customWidth="1"/>
    <col min="11028" max="11263" width="9" style="3"/>
    <col min="11264" max="11264" width="5.140625" style="3" customWidth="1"/>
    <col min="11265" max="11265" width="25.28515625" style="3" customWidth="1"/>
    <col min="11266" max="11266" width="11.85546875" style="3" customWidth="1"/>
    <col min="11267" max="11283" width="9.140625" style="3" customWidth="1"/>
    <col min="11284" max="11519" width="9" style="3"/>
    <col min="11520" max="11520" width="5.140625" style="3" customWidth="1"/>
    <col min="11521" max="11521" width="25.28515625" style="3" customWidth="1"/>
    <col min="11522" max="11522" width="11.85546875" style="3" customWidth="1"/>
    <col min="11523" max="11539" width="9.140625" style="3" customWidth="1"/>
    <col min="11540" max="11775" width="9" style="3"/>
    <col min="11776" max="11776" width="5.140625" style="3" customWidth="1"/>
    <col min="11777" max="11777" width="25.28515625" style="3" customWidth="1"/>
    <col min="11778" max="11778" width="11.85546875" style="3" customWidth="1"/>
    <col min="11779" max="11795" width="9.140625" style="3" customWidth="1"/>
    <col min="11796" max="12031" width="9" style="3"/>
    <col min="12032" max="12032" width="5.140625" style="3" customWidth="1"/>
    <col min="12033" max="12033" width="25.28515625" style="3" customWidth="1"/>
    <col min="12034" max="12034" width="11.85546875" style="3" customWidth="1"/>
    <col min="12035" max="12051" width="9.140625" style="3" customWidth="1"/>
    <col min="12052" max="12287" width="9" style="3"/>
    <col min="12288" max="12288" width="5.140625" style="3" customWidth="1"/>
    <col min="12289" max="12289" width="25.28515625" style="3" customWidth="1"/>
    <col min="12290" max="12290" width="11.85546875" style="3" customWidth="1"/>
    <col min="12291" max="12307" width="9.140625" style="3" customWidth="1"/>
    <col min="12308" max="12543" width="9" style="3"/>
    <col min="12544" max="12544" width="5.140625" style="3" customWidth="1"/>
    <col min="12545" max="12545" width="25.28515625" style="3" customWidth="1"/>
    <col min="12546" max="12546" width="11.85546875" style="3" customWidth="1"/>
    <col min="12547" max="12563" width="9.140625" style="3" customWidth="1"/>
    <col min="12564" max="12799" width="9" style="3"/>
    <col min="12800" max="12800" width="5.140625" style="3" customWidth="1"/>
    <col min="12801" max="12801" width="25.28515625" style="3" customWidth="1"/>
    <col min="12802" max="12802" width="11.85546875" style="3" customWidth="1"/>
    <col min="12803" max="12819" width="9.140625" style="3" customWidth="1"/>
    <col min="12820" max="13055" width="9" style="3"/>
    <col min="13056" max="13056" width="5.140625" style="3" customWidth="1"/>
    <col min="13057" max="13057" width="25.28515625" style="3" customWidth="1"/>
    <col min="13058" max="13058" width="11.85546875" style="3" customWidth="1"/>
    <col min="13059" max="13075" width="9.140625" style="3" customWidth="1"/>
    <col min="13076" max="13311" width="9" style="3"/>
    <col min="13312" max="13312" width="5.140625" style="3" customWidth="1"/>
    <col min="13313" max="13313" width="25.28515625" style="3" customWidth="1"/>
    <col min="13314" max="13314" width="11.85546875" style="3" customWidth="1"/>
    <col min="13315" max="13331" width="9.140625" style="3" customWidth="1"/>
    <col min="13332" max="13567" width="9" style="3"/>
    <col min="13568" max="13568" width="5.140625" style="3" customWidth="1"/>
    <col min="13569" max="13569" width="25.28515625" style="3" customWidth="1"/>
    <col min="13570" max="13570" width="11.85546875" style="3" customWidth="1"/>
    <col min="13571" max="13587" width="9.140625" style="3" customWidth="1"/>
    <col min="13588" max="13823" width="9" style="3"/>
    <col min="13824" max="13824" width="5.140625" style="3" customWidth="1"/>
    <col min="13825" max="13825" width="25.28515625" style="3" customWidth="1"/>
    <col min="13826" max="13826" width="11.85546875" style="3" customWidth="1"/>
    <col min="13827" max="13843" width="9.140625" style="3" customWidth="1"/>
    <col min="13844" max="14079" width="9" style="3"/>
    <col min="14080" max="14080" width="5.140625" style="3" customWidth="1"/>
    <col min="14081" max="14081" width="25.28515625" style="3" customWidth="1"/>
    <col min="14082" max="14082" width="11.85546875" style="3" customWidth="1"/>
    <col min="14083" max="14099" width="9.140625" style="3" customWidth="1"/>
    <col min="14100" max="14335" width="9" style="3"/>
    <col min="14336" max="14336" width="5.140625" style="3" customWidth="1"/>
    <col min="14337" max="14337" width="25.28515625" style="3" customWidth="1"/>
    <col min="14338" max="14338" width="11.85546875" style="3" customWidth="1"/>
    <col min="14339" max="14355" width="9.140625" style="3" customWidth="1"/>
    <col min="14356" max="14591" width="9" style="3"/>
    <col min="14592" max="14592" width="5.140625" style="3" customWidth="1"/>
    <col min="14593" max="14593" width="25.28515625" style="3" customWidth="1"/>
    <col min="14594" max="14594" width="11.85546875" style="3" customWidth="1"/>
    <col min="14595" max="14611" width="9.140625" style="3" customWidth="1"/>
    <col min="14612" max="14847" width="9" style="3"/>
    <col min="14848" max="14848" width="5.140625" style="3" customWidth="1"/>
    <col min="14849" max="14849" width="25.28515625" style="3" customWidth="1"/>
    <col min="14850" max="14850" width="11.85546875" style="3" customWidth="1"/>
    <col min="14851" max="14867" width="9.140625" style="3" customWidth="1"/>
    <col min="14868" max="15103" width="9" style="3"/>
    <col min="15104" max="15104" width="5.140625" style="3" customWidth="1"/>
    <col min="15105" max="15105" width="25.28515625" style="3" customWidth="1"/>
    <col min="15106" max="15106" width="11.85546875" style="3" customWidth="1"/>
    <col min="15107" max="15123" width="9.140625" style="3" customWidth="1"/>
    <col min="15124" max="15359" width="9" style="3"/>
    <col min="15360" max="15360" width="5.140625" style="3" customWidth="1"/>
    <col min="15361" max="15361" width="25.28515625" style="3" customWidth="1"/>
    <col min="15362" max="15362" width="11.85546875" style="3" customWidth="1"/>
    <col min="15363" max="15379" width="9.140625" style="3" customWidth="1"/>
    <col min="15380" max="15615" width="9" style="3"/>
    <col min="15616" max="15616" width="5.140625" style="3" customWidth="1"/>
    <col min="15617" max="15617" width="25.28515625" style="3" customWidth="1"/>
    <col min="15618" max="15618" width="11.85546875" style="3" customWidth="1"/>
    <col min="15619" max="15635" width="9.140625" style="3" customWidth="1"/>
    <col min="15636" max="15871" width="9" style="3"/>
    <col min="15872" max="15872" width="5.140625" style="3" customWidth="1"/>
    <col min="15873" max="15873" width="25.28515625" style="3" customWidth="1"/>
    <col min="15874" max="15874" width="11.85546875" style="3" customWidth="1"/>
    <col min="15875" max="15891" width="9.140625" style="3" customWidth="1"/>
    <col min="15892" max="16127" width="9" style="3"/>
    <col min="16128" max="16128" width="5.140625" style="3" customWidth="1"/>
    <col min="16129" max="16129" width="25.28515625" style="3" customWidth="1"/>
    <col min="16130" max="16130" width="11.85546875" style="3" customWidth="1"/>
    <col min="16131" max="16147" width="9.140625" style="3" customWidth="1"/>
    <col min="16148" max="16384" width="9" style="3"/>
  </cols>
  <sheetData>
    <row r="1" spans="1:21" ht="34.5" thickBot="1" x14ac:dyDescent="0.3">
      <c r="A1" s="176" t="s">
        <v>69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8"/>
      <c r="T1" s="1"/>
      <c r="U1" s="1"/>
    </row>
    <row r="2" spans="1:21" ht="167.25" customHeight="1" thickBot="1" x14ac:dyDescent="0.3">
      <c r="A2" s="4" t="s">
        <v>0</v>
      </c>
      <c r="B2" s="5" t="s">
        <v>1</v>
      </c>
      <c r="C2" s="6" t="s">
        <v>2</v>
      </c>
      <c r="D2" s="7" t="s">
        <v>70</v>
      </c>
      <c r="E2" s="8" t="s">
        <v>71</v>
      </c>
      <c r="F2" s="7" t="s">
        <v>79</v>
      </c>
      <c r="G2" s="7" t="s">
        <v>80</v>
      </c>
      <c r="H2" s="7" t="s">
        <v>95</v>
      </c>
      <c r="I2" s="7" t="s">
        <v>94</v>
      </c>
      <c r="J2" s="8" t="s">
        <v>113</v>
      </c>
      <c r="K2" s="8" t="s">
        <v>114</v>
      </c>
      <c r="L2" s="8" t="s">
        <v>144</v>
      </c>
      <c r="M2" s="8" t="s">
        <v>145</v>
      </c>
      <c r="N2" s="8" t="s">
        <v>146</v>
      </c>
      <c r="O2" s="8" t="s">
        <v>148</v>
      </c>
      <c r="P2" s="8" t="s">
        <v>149</v>
      </c>
      <c r="Q2" s="7" t="s">
        <v>170</v>
      </c>
      <c r="R2" s="8" t="s">
        <v>171</v>
      </c>
      <c r="S2" s="9" t="s">
        <v>3</v>
      </c>
      <c r="T2" s="10"/>
      <c r="U2" s="10"/>
    </row>
    <row r="3" spans="1:21" x14ac:dyDescent="0.25">
      <c r="A3" s="80" t="s">
        <v>4</v>
      </c>
      <c r="B3" s="14" t="s">
        <v>92</v>
      </c>
      <c r="C3" s="15"/>
      <c r="D3" s="86"/>
      <c r="E3" s="17"/>
      <c r="F3" s="160">
        <f>100-(59.55-59.55)/59.55*50</f>
        <v>100</v>
      </c>
      <c r="G3" s="120" t="s">
        <v>12</v>
      </c>
      <c r="H3" s="17"/>
      <c r="I3" s="17"/>
      <c r="J3" s="136">
        <f>100-(38.93-31.87)/31.87*50</f>
        <v>88.923752745528716</v>
      </c>
      <c r="K3" s="17">
        <f>100-(75.2-74.7)/74.7*50</f>
        <v>99.66532797858099</v>
      </c>
      <c r="L3" s="17">
        <f>100-(110.93-110.93)/110.93*50</f>
        <v>100</v>
      </c>
      <c r="M3" s="17">
        <f>100-(100.23-82.33)/82.33*50</f>
        <v>89.129114539050164</v>
      </c>
      <c r="N3" s="17">
        <f>100-(144.8-144.8)/144.8*50</f>
        <v>100</v>
      </c>
      <c r="O3" s="17"/>
      <c r="P3" s="17"/>
      <c r="Q3" s="17">
        <f>100-(76.5-66.22)/66.22*50</f>
        <v>92.237994563575953</v>
      </c>
      <c r="R3" s="154">
        <f>100-(65.52-54.67)/54.67*50</f>
        <v>90.076824583866838</v>
      </c>
      <c r="S3" s="20">
        <f>SUM(D3:R3)-J3</f>
        <v>671.10926166507386</v>
      </c>
    </row>
    <row r="4" spans="1:21" x14ac:dyDescent="0.25">
      <c r="A4" s="83" t="s">
        <v>6</v>
      </c>
      <c r="B4" s="23" t="s">
        <v>45</v>
      </c>
      <c r="C4" s="24" t="s">
        <v>39</v>
      </c>
      <c r="D4" s="31"/>
      <c r="E4" s="25"/>
      <c r="F4" s="29"/>
      <c r="G4" s="25"/>
      <c r="H4" s="25">
        <f>100-(31.98-31.98)/31.98*50</f>
        <v>100</v>
      </c>
      <c r="I4" s="25">
        <f>100-(66.05-66.05)/66.05*50</f>
        <v>100</v>
      </c>
      <c r="J4" s="29"/>
      <c r="K4" s="29"/>
      <c r="L4" s="18"/>
      <c r="M4" s="18"/>
      <c r="N4" s="18"/>
      <c r="O4" s="18"/>
      <c r="P4" s="18"/>
      <c r="Q4" s="18">
        <f>100-(67.57-66.22)/66.22*50</f>
        <v>98.980670492298401</v>
      </c>
      <c r="R4" s="155">
        <f>100-(54.67-54.67)/54.67*50</f>
        <v>100</v>
      </c>
      <c r="S4" s="26">
        <f t="shared" ref="S4:S11" si="0">SUM(D4:R4)</f>
        <v>398.98067049229837</v>
      </c>
    </row>
    <row r="5" spans="1:21" x14ac:dyDescent="0.25">
      <c r="A5" s="83" t="s">
        <v>8</v>
      </c>
      <c r="B5" s="23" t="s">
        <v>147</v>
      </c>
      <c r="C5" s="24"/>
      <c r="D5" s="23"/>
      <c r="E5" s="18"/>
      <c r="F5" s="18">
        <f>100-(114.78-59.55)/59.55*50</f>
        <v>53.627204030226693</v>
      </c>
      <c r="G5" s="18"/>
      <c r="H5" s="77"/>
      <c r="I5" s="77"/>
      <c r="J5" s="29">
        <f>100-(57.58-31.87)/31.87*50</f>
        <v>59.664261060558523</v>
      </c>
      <c r="K5" s="29">
        <f>100-(96.25-74.7)/74.7*50</f>
        <v>85.575635876840693</v>
      </c>
      <c r="L5" s="25">
        <f>100-(182.07-110.93)/110.93*50</f>
        <v>67.93473361579376</v>
      </c>
      <c r="M5" s="25">
        <f>100-(82.33-82.33)/82.33*50</f>
        <v>100</v>
      </c>
      <c r="N5" s="105" t="s">
        <v>12</v>
      </c>
      <c r="O5" s="18"/>
      <c r="P5" s="18"/>
      <c r="Q5" s="18"/>
      <c r="R5" s="155"/>
      <c r="S5" s="26">
        <f t="shared" si="0"/>
        <v>366.80183458341969</v>
      </c>
    </row>
    <row r="6" spans="1:21" x14ac:dyDescent="0.25">
      <c r="A6" s="83" t="s">
        <v>11</v>
      </c>
      <c r="B6" s="23" t="s">
        <v>180</v>
      </c>
      <c r="C6" s="24" t="s">
        <v>56</v>
      </c>
      <c r="D6" s="23"/>
      <c r="E6" s="21"/>
      <c r="F6" s="71"/>
      <c r="G6" s="25"/>
      <c r="H6" s="21"/>
      <c r="I6" s="21"/>
      <c r="J6" s="77"/>
      <c r="K6" s="21"/>
      <c r="L6" s="21"/>
      <c r="M6" s="18"/>
      <c r="N6" s="21"/>
      <c r="O6" s="21"/>
      <c r="P6" s="21"/>
      <c r="Q6" s="18">
        <f>100-(67.7-66.22)/66.22*50</f>
        <v>98.882512836001212</v>
      </c>
      <c r="R6" s="155">
        <f>100-(62.18-54.67)/54.67*50</f>
        <v>93.131516370952994</v>
      </c>
      <c r="S6" s="26">
        <f t="shared" si="0"/>
        <v>192.01402920695421</v>
      </c>
    </row>
    <row r="7" spans="1:21" x14ac:dyDescent="0.25">
      <c r="A7" s="83" t="s">
        <v>13</v>
      </c>
      <c r="B7" s="23" t="s">
        <v>136</v>
      </c>
      <c r="C7" s="24" t="s">
        <v>56</v>
      </c>
      <c r="D7" s="23"/>
      <c r="E7" s="21"/>
      <c r="F7" s="25"/>
      <c r="G7" s="25"/>
      <c r="H7" s="25"/>
      <c r="I7" s="18"/>
      <c r="J7" s="29">
        <f>100-(40.98-31.87)/31.87*50</f>
        <v>85.707561970505182</v>
      </c>
      <c r="K7" s="29">
        <f>100-(74.7-74.7)/74.7*50</f>
        <v>100</v>
      </c>
      <c r="L7" s="18"/>
      <c r="M7" s="21"/>
      <c r="N7" s="21"/>
      <c r="O7" s="21"/>
      <c r="P7" s="21"/>
      <c r="Q7" s="21"/>
      <c r="R7" s="24"/>
      <c r="S7" s="26">
        <f t="shared" si="0"/>
        <v>185.7075619705052</v>
      </c>
    </row>
    <row r="8" spans="1:21" x14ac:dyDescent="0.25">
      <c r="A8" s="83" t="s">
        <v>15</v>
      </c>
      <c r="B8" s="23" t="s">
        <v>137</v>
      </c>
      <c r="C8" s="24"/>
      <c r="D8" s="23"/>
      <c r="E8" s="18"/>
      <c r="F8" s="34"/>
      <c r="G8" s="95"/>
      <c r="H8" s="18"/>
      <c r="I8" s="18"/>
      <c r="J8" s="29">
        <f>100-(44.82-31.87)/31.87*50</f>
        <v>79.683087543144026</v>
      </c>
      <c r="K8" s="29">
        <f>100-(99.05-74.7)/74.7*50</f>
        <v>83.701472556894245</v>
      </c>
      <c r="L8" s="18"/>
      <c r="M8" s="18"/>
      <c r="N8" s="18"/>
      <c r="O8" s="18"/>
      <c r="P8" s="18"/>
      <c r="Q8" s="18"/>
      <c r="R8" s="155"/>
      <c r="S8" s="26">
        <f t="shared" si="0"/>
        <v>163.38456010003827</v>
      </c>
    </row>
    <row r="9" spans="1:21" x14ac:dyDescent="0.25">
      <c r="A9" s="83" t="s">
        <v>18</v>
      </c>
      <c r="B9" s="23" t="s">
        <v>179</v>
      </c>
      <c r="C9" s="24" t="s">
        <v>14</v>
      </c>
      <c r="D9" s="23"/>
      <c r="E9" s="18"/>
      <c r="F9" s="34"/>
      <c r="G9" s="95"/>
      <c r="H9" s="25"/>
      <c r="I9" s="18"/>
      <c r="J9" s="18"/>
      <c r="K9" s="25"/>
      <c r="L9" s="18"/>
      <c r="M9" s="18"/>
      <c r="N9" s="18"/>
      <c r="O9" s="18"/>
      <c r="P9" s="18"/>
      <c r="Q9" s="18">
        <f>100-(98.15-66.22)/66.22*50</f>
        <v>75.890969495620652</v>
      </c>
      <c r="R9" s="155">
        <f>100-(83.82-54.67)/54.67*50</f>
        <v>73.340040241448705</v>
      </c>
      <c r="S9" s="26">
        <f t="shared" si="0"/>
        <v>149.23100973706937</v>
      </c>
    </row>
    <row r="10" spans="1:21" x14ac:dyDescent="0.25">
      <c r="A10" s="83" t="s">
        <v>20</v>
      </c>
      <c r="B10" s="23" t="s">
        <v>135</v>
      </c>
      <c r="C10" s="24" t="s">
        <v>77</v>
      </c>
      <c r="D10" s="23"/>
      <c r="E10" s="21"/>
      <c r="F10" s="18"/>
      <c r="G10" s="25"/>
      <c r="H10" s="25"/>
      <c r="I10" s="18"/>
      <c r="J10" s="18">
        <f>100-(31.87-31.87)/31.87*50</f>
        <v>100</v>
      </c>
      <c r="K10" s="57"/>
      <c r="L10" s="18"/>
      <c r="M10" s="18"/>
      <c r="N10" s="18"/>
      <c r="O10" s="18"/>
      <c r="P10" s="18"/>
      <c r="Q10" s="18"/>
      <c r="R10" s="24"/>
      <c r="S10" s="26">
        <f t="shared" si="0"/>
        <v>100</v>
      </c>
    </row>
    <row r="11" spans="1:21" ht="15.75" thickBot="1" x14ac:dyDescent="0.3">
      <c r="A11" s="84" t="s">
        <v>20</v>
      </c>
      <c r="B11" s="40" t="s">
        <v>178</v>
      </c>
      <c r="C11" s="41" t="s">
        <v>61</v>
      </c>
      <c r="D11" s="143"/>
      <c r="E11" s="43"/>
      <c r="F11" s="44"/>
      <c r="G11" s="91"/>
      <c r="H11" s="43"/>
      <c r="I11" s="43"/>
      <c r="J11" s="43"/>
      <c r="K11" s="46"/>
      <c r="L11" s="43"/>
      <c r="M11" s="43"/>
      <c r="N11" s="43"/>
      <c r="O11" s="43"/>
      <c r="P11" s="43"/>
      <c r="Q11" s="43">
        <f>100-(66.22-66.22)/66.22*50</f>
        <v>100</v>
      </c>
      <c r="R11" s="156"/>
      <c r="S11" s="47">
        <f t="shared" si="0"/>
        <v>100</v>
      </c>
    </row>
    <row r="12" spans="1:21" x14ac:dyDescent="0.25">
      <c r="A12" s="2"/>
      <c r="B12" s="2"/>
      <c r="C12" s="2"/>
      <c r="D12" s="2"/>
      <c r="E12" s="2"/>
      <c r="F12" s="52"/>
      <c r="G12" s="2"/>
      <c r="H12" s="2"/>
      <c r="I12" s="2"/>
      <c r="J12" s="2"/>
      <c r="K12" s="2"/>
      <c r="L12" s="2"/>
      <c r="M12" s="79"/>
      <c r="N12" s="2"/>
      <c r="O12" s="2"/>
      <c r="P12" s="2"/>
      <c r="Q12" s="2"/>
      <c r="R12" s="2"/>
      <c r="S12" s="51"/>
    </row>
    <row r="13" spans="1:21" x14ac:dyDescent="0.25">
      <c r="A13" s="2"/>
      <c r="B13" s="2"/>
      <c r="C13" s="2"/>
      <c r="D13" s="2"/>
      <c r="E13" s="2"/>
      <c r="F13" s="52"/>
      <c r="G13" s="2"/>
      <c r="H13" s="2"/>
      <c r="I13" s="2"/>
      <c r="J13" s="2"/>
      <c r="K13" s="2"/>
      <c r="L13" s="2"/>
      <c r="M13" s="2"/>
      <c r="N13" s="48"/>
      <c r="O13" s="48"/>
      <c r="P13" s="48"/>
      <c r="Q13" s="48"/>
      <c r="R13" s="2"/>
      <c r="S13" s="51"/>
    </row>
    <row r="14" spans="1:21" x14ac:dyDescent="0.25">
      <c r="A14" s="2"/>
      <c r="B14" s="2"/>
      <c r="C14" s="2"/>
      <c r="D14" s="2"/>
      <c r="E14" s="2"/>
      <c r="F14" s="5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21" s="53" customFormat="1" x14ac:dyDescent="0.25">
      <c r="A15" s="53" t="s">
        <v>36</v>
      </c>
    </row>
    <row r="16" spans="1:21" s="54" customFormat="1" x14ac:dyDescent="0.25">
      <c r="A16" s="54" t="s">
        <v>37</v>
      </c>
    </row>
  </sheetData>
  <sortState ref="B3:S11">
    <sortCondition descending="1" ref="S3"/>
  </sortState>
  <mergeCells count="1">
    <mergeCell ref="A1:S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workbookViewId="0">
      <selection activeCell="E21" sqref="E21"/>
    </sheetView>
  </sheetViews>
  <sheetFormatPr defaultColWidth="9" defaultRowHeight="15" x14ac:dyDescent="0.25"/>
  <cols>
    <col min="1" max="1" width="4.85546875" style="3" customWidth="1"/>
    <col min="2" max="2" width="17.85546875" style="3" customWidth="1"/>
    <col min="3" max="3" width="18.140625" style="3" customWidth="1"/>
    <col min="4" max="5" width="9.140625" style="3" customWidth="1"/>
    <col min="6" max="6" width="9.140625" style="55" customWidth="1"/>
    <col min="7" max="19" width="9.140625" style="3" customWidth="1"/>
    <col min="20" max="22" width="9" style="2"/>
    <col min="23" max="255" width="9" style="3"/>
    <col min="256" max="256" width="4.85546875" style="3" customWidth="1"/>
    <col min="257" max="257" width="17.85546875" style="3" customWidth="1"/>
    <col min="258" max="258" width="18.140625" style="3" customWidth="1"/>
    <col min="259" max="275" width="9.140625" style="3" customWidth="1"/>
    <col min="276" max="511" width="9" style="3"/>
    <col min="512" max="512" width="4.85546875" style="3" customWidth="1"/>
    <col min="513" max="513" width="17.85546875" style="3" customWidth="1"/>
    <col min="514" max="514" width="18.140625" style="3" customWidth="1"/>
    <col min="515" max="531" width="9.140625" style="3" customWidth="1"/>
    <col min="532" max="767" width="9" style="3"/>
    <col min="768" max="768" width="4.85546875" style="3" customWidth="1"/>
    <col min="769" max="769" width="17.85546875" style="3" customWidth="1"/>
    <col min="770" max="770" width="18.140625" style="3" customWidth="1"/>
    <col min="771" max="787" width="9.140625" style="3" customWidth="1"/>
    <col min="788" max="1023" width="9" style="3"/>
    <col min="1024" max="1024" width="4.85546875" style="3" customWidth="1"/>
    <col min="1025" max="1025" width="17.85546875" style="3" customWidth="1"/>
    <col min="1026" max="1026" width="18.140625" style="3" customWidth="1"/>
    <col min="1027" max="1043" width="9.140625" style="3" customWidth="1"/>
    <col min="1044" max="1279" width="9" style="3"/>
    <col min="1280" max="1280" width="4.85546875" style="3" customWidth="1"/>
    <col min="1281" max="1281" width="17.85546875" style="3" customWidth="1"/>
    <col min="1282" max="1282" width="18.140625" style="3" customWidth="1"/>
    <col min="1283" max="1299" width="9.140625" style="3" customWidth="1"/>
    <col min="1300" max="1535" width="9" style="3"/>
    <col min="1536" max="1536" width="4.85546875" style="3" customWidth="1"/>
    <col min="1537" max="1537" width="17.85546875" style="3" customWidth="1"/>
    <col min="1538" max="1538" width="18.140625" style="3" customWidth="1"/>
    <col min="1539" max="1555" width="9.140625" style="3" customWidth="1"/>
    <col min="1556" max="1791" width="9" style="3"/>
    <col min="1792" max="1792" width="4.85546875" style="3" customWidth="1"/>
    <col min="1793" max="1793" width="17.85546875" style="3" customWidth="1"/>
    <col min="1794" max="1794" width="18.140625" style="3" customWidth="1"/>
    <col min="1795" max="1811" width="9.140625" style="3" customWidth="1"/>
    <col min="1812" max="2047" width="9" style="3"/>
    <col min="2048" max="2048" width="4.85546875" style="3" customWidth="1"/>
    <col min="2049" max="2049" width="17.85546875" style="3" customWidth="1"/>
    <col min="2050" max="2050" width="18.140625" style="3" customWidth="1"/>
    <col min="2051" max="2067" width="9.140625" style="3" customWidth="1"/>
    <col min="2068" max="2303" width="9" style="3"/>
    <col min="2304" max="2304" width="4.85546875" style="3" customWidth="1"/>
    <col min="2305" max="2305" width="17.85546875" style="3" customWidth="1"/>
    <col min="2306" max="2306" width="18.140625" style="3" customWidth="1"/>
    <col min="2307" max="2323" width="9.140625" style="3" customWidth="1"/>
    <col min="2324" max="2559" width="9" style="3"/>
    <col min="2560" max="2560" width="4.85546875" style="3" customWidth="1"/>
    <col min="2561" max="2561" width="17.85546875" style="3" customWidth="1"/>
    <col min="2562" max="2562" width="18.140625" style="3" customWidth="1"/>
    <col min="2563" max="2579" width="9.140625" style="3" customWidth="1"/>
    <col min="2580" max="2815" width="9" style="3"/>
    <col min="2816" max="2816" width="4.85546875" style="3" customWidth="1"/>
    <col min="2817" max="2817" width="17.85546875" style="3" customWidth="1"/>
    <col min="2818" max="2818" width="18.140625" style="3" customWidth="1"/>
    <col min="2819" max="2835" width="9.140625" style="3" customWidth="1"/>
    <col min="2836" max="3071" width="9" style="3"/>
    <col min="3072" max="3072" width="4.85546875" style="3" customWidth="1"/>
    <col min="3073" max="3073" width="17.85546875" style="3" customWidth="1"/>
    <col min="3074" max="3074" width="18.140625" style="3" customWidth="1"/>
    <col min="3075" max="3091" width="9.140625" style="3" customWidth="1"/>
    <col min="3092" max="3327" width="9" style="3"/>
    <col min="3328" max="3328" width="4.85546875" style="3" customWidth="1"/>
    <col min="3329" max="3329" width="17.85546875" style="3" customWidth="1"/>
    <col min="3330" max="3330" width="18.140625" style="3" customWidth="1"/>
    <col min="3331" max="3347" width="9.140625" style="3" customWidth="1"/>
    <col min="3348" max="3583" width="9" style="3"/>
    <col min="3584" max="3584" width="4.85546875" style="3" customWidth="1"/>
    <col min="3585" max="3585" width="17.85546875" style="3" customWidth="1"/>
    <col min="3586" max="3586" width="18.140625" style="3" customWidth="1"/>
    <col min="3587" max="3603" width="9.140625" style="3" customWidth="1"/>
    <col min="3604" max="3839" width="9" style="3"/>
    <col min="3840" max="3840" width="4.85546875" style="3" customWidth="1"/>
    <col min="3841" max="3841" width="17.85546875" style="3" customWidth="1"/>
    <col min="3842" max="3842" width="18.140625" style="3" customWidth="1"/>
    <col min="3843" max="3859" width="9.140625" style="3" customWidth="1"/>
    <col min="3860" max="4095" width="9" style="3"/>
    <col min="4096" max="4096" width="4.85546875" style="3" customWidth="1"/>
    <col min="4097" max="4097" width="17.85546875" style="3" customWidth="1"/>
    <col min="4098" max="4098" width="18.140625" style="3" customWidth="1"/>
    <col min="4099" max="4115" width="9.140625" style="3" customWidth="1"/>
    <col min="4116" max="4351" width="9" style="3"/>
    <col min="4352" max="4352" width="4.85546875" style="3" customWidth="1"/>
    <col min="4353" max="4353" width="17.85546875" style="3" customWidth="1"/>
    <col min="4354" max="4354" width="18.140625" style="3" customWidth="1"/>
    <col min="4355" max="4371" width="9.140625" style="3" customWidth="1"/>
    <col min="4372" max="4607" width="9" style="3"/>
    <col min="4608" max="4608" width="4.85546875" style="3" customWidth="1"/>
    <col min="4609" max="4609" width="17.85546875" style="3" customWidth="1"/>
    <col min="4610" max="4610" width="18.140625" style="3" customWidth="1"/>
    <col min="4611" max="4627" width="9.140625" style="3" customWidth="1"/>
    <col min="4628" max="4863" width="9" style="3"/>
    <col min="4864" max="4864" width="4.85546875" style="3" customWidth="1"/>
    <col min="4865" max="4865" width="17.85546875" style="3" customWidth="1"/>
    <col min="4866" max="4866" width="18.140625" style="3" customWidth="1"/>
    <col min="4867" max="4883" width="9.140625" style="3" customWidth="1"/>
    <col min="4884" max="5119" width="9" style="3"/>
    <col min="5120" max="5120" width="4.85546875" style="3" customWidth="1"/>
    <col min="5121" max="5121" width="17.85546875" style="3" customWidth="1"/>
    <col min="5122" max="5122" width="18.140625" style="3" customWidth="1"/>
    <col min="5123" max="5139" width="9.140625" style="3" customWidth="1"/>
    <col min="5140" max="5375" width="9" style="3"/>
    <col min="5376" max="5376" width="4.85546875" style="3" customWidth="1"/>
    <col min="5377" max="5377" width="17.85546875" style="3" customWidth="1"/>
    <col min="5378" max="5378" width="18.140625" style="3" customWidth="1"/>
    <col min="5379" max="5395" width="9.140625" style="3" customWidth="1"/>
    <col min="5396" max="5631" width="9" style="3"/>
    <col min="5632" max="5632" width="4.85546875" style="3" customWidth="1"/>
    <col min="5633" max="5633" width="17.85546875" style="3" customWidth="1"/>
    <col min="5634" max="5634" width="18.140625" style="3" customWidth="1"/>
    <col min="5635" max="5651" width="9.140625" style="3" customWidth="1"/>
    <col min="5652" max="5887" width="9" style="3"/>
    <col min="5888" max="5888" width="4.85546875" style="3" customWidth="1"/>
    <col min="5889" max="5889" width="17.85546875" style="3" customWidth="1"/>
    <col min="5890" max="5890" width="18.140625" style="3" customWidth="1"/>
    <col min="5891" max="5907" width="9.140625" style="3" customWidth="1"/>
    <col min="5908" max="6143" width="9" style="3"/>
    <col min="6144" max="6144" width="4.85546875" style="3" customWidth="1"/>
    <col min="6145" max="6145" width="17.85546875" style="3" customWidth="1"/>
    <col min="6146" max="6146" width="18.140625" style="3" customWidth="1"/>
    <col min="6147" max="6163" width="9.140625" style="3" customWidth="1"/>
    <col min="6164" max="6399" width="9" style="3"/>
    <col min="6400" max="6400" width="4.85546875" style="3" customWidth="1"/>
    <col min="6401" max="6401" width="17.85546875" style="3" customWidth="1"/>
    <col min="6402" max="6402" width="18.140625" style="3" customWidth="1"/>
    <col min="6403" max="6419" width="9.140625" style="3" customWidth="1"/>
    <col min="6420" max="6655" width="9" style="3"/>
    <col min="6656" max="6656" width="4.85546875" style="3" customWidth="1"/>
    <col min="6657" max="6657" width="17.85546875" style="3" customWidth="1"/>
    <col min="6658" max="6658" width="18.140625" style="3" customWidth="1"/>
    <col min="6659" max="6675" width="9.140625" style="3" customWidth="1"/>
    <col min="6676" max="6911" width="9" style="3"/>
    <col min="6912" max="6912" width="4.85546875" style="3" customWidth="1"/>
    <col min="6913" max="6913" width="17.85546875" style="3" customWidth="1"/>
    <col min="6914" max="6914" width="18.140625" style="3" customWidth="1"/>
    <col min="6915" max="6931" width="9.140625" style="3" customWidth="1"/>
    <col min="6932" max="7167" width="9" style="3"/>
    <col min="7168" max="7168" width="4.85546875" style="3" customWidth="1"/>
    <col min="7169" max="7169" width="17.85546875" style="3" customWidth="1"/>
    <col min="7170" max="7170" width="18.140625" style="3" customWidth="1"/>
    <col min="7171" max="7187" width="9.140625" style="3" customWidth="1"/>
    <col min="7188" max="7423" width="9" style="3"/>
    <col min="7424" max="7424" width="4.85546875" style="3" customWidth="1"/>
    <col min="7425" max="7425" width="17.85546875" style="3" customWidth="1"/>
    <col min="7426" max="7426" width="18.140625" style="3" customWidth="1"/>
    <col min="7427" max="7443" width="9.140625" style="3" customWidth="1"/>
    <col min="7444" max="7679" width="9" style="3"/>
    <col min="7680" max="7680" width="4.85546875" style="3" customWidth="1"/>
    <col min="7681" max="7681" width="17.85546875" style="3" customWidth="1"/>
    <col min="7682" max="7682" width="18.140625" style="3" customWidth="1"/>
    <col min="7683" max="7699" width="9.140625" style="3" customWidth="1"/>
    <col min="7700" max="7935" width="9" style="3"/>
    <col min="7936" max="7936" width="4.85546875" style="3" customWidth="1"/>
    <col min="7937" max="7937" width="17.85546875" style="3" customWidth="1"/>
    <col min="7938" max="7938" width="18.140625" style="3" customWidth="1"/>
    <col min="7939" max="7955" width="9.140625" style="3" customWidth="1"/>
    <col min="7956" max="8191" width="9" style="3"/>
    <col min="8192" max="8192" width="4.85546875" style="3" customWidth="1"/>
    <col min="8193" max="8193" width="17.85546875" style="3" customWidth="1"/>
    <col min="8194" max="8194" width="18.140625" style="3" customWidth="1"/>
    <col min="8195" max="8211" width="9.140625" style="3" customWidth="1"/>
    <col min="8212" max="8447" width="9" style="3"/>
    <col min="8448" max="8448" width="4.85546875" style="3" customWidth="1"/>
    <col min="8449" max="8449" width="17.85546875" style="3" customWidth="1"/>
    <col min="8450" max="8450" width="18.140625" style="3" customWidth="1"/>
    <col min="8451" max="8467" width="9.140625" style="3" customWidth="1"/>
    <col min="8468" max="8703" width="9" style="3"/>
    <col min="8704" max="8704" width="4.85546875" style="3" customWidth="1"/>
    <col min="8705" max="8705" width="17.85546875" style="3" customWidth="1"/>
    <col min="8706" max="8706" width="18.140625" style="3" customWidth="1"/>
    <col min="8707" max="8723" width="9.140625" style="3" customWidth="1"/>
    <col min="8724" max="8959" width="9" style="3"/>
    <col min="8960" max="8960" width="4.85546875" style="3" customWidth="1"/>
    <col min="8961" max="8961" width="17.85546875" style="3" customWidth="1"/>
    <col min="8962" max="8962" width="18.140625" style="3" customWidth="1"/>
    <col min="8963" max="8979" width="9.140625" style="3" customWidth="1"/>
    <col min="8980" max="9215" width="9" style="3"/>
    <col min="9216" max="9216" width="4.85546875" style="3" customWidth="1"/>
    <col min="9217" max="9217" width="17.85546875" style="3" customWidth="1"/>
    <col min="9218" max="9218" width="18.140625" style="3" customWidth="1"/>
    <col min="9219" max="9235" width="9.140625" style="3" customWidth="1"/>
    <col min="9236" max="9471" width="9" style="3"/>
    <col min="9472" max="9472" width="4.85546875" style="3" customWidth="1"/>
    <col min="9473" max="9473" width="17.85546875" style="3" customWidth="1"/>
    <col min="9474" max="9474" width="18.140625" style="3" customWidth="1"/>
    <col min="9475" max="9491" width="9.140625" style="3" customWidth="1"/>
    <col min="9492" max="9727" width="9" style="3"/>
    <col min="9728" max="9728" width="4.85546875" style="3" customWidth="1"/>
    <col min="9729" max="9729" width="17.85546875" style="3" customWidth="1"/>
    <col min="9730" max="9730" width="18.140625" style="3" customWidth="1"/>
    <col min="9731" max="9747" width="9.140625" style="3" customWidth="1"/>
    <col min="9748" max="9983" width="9" style="3"/>
    <col min="9984" max="9984" width="4.85546875" style="3" customWidth="1"/>
    <col min="9985" max="9985" width="17.85546875" style="3" customWidth="1"/>
    <col min="9986" max="9986" width="18.140625" style="3" customWidth="1"/>
    <col min="9987" max="10003" width="9.140625" style="3" customWidth="1"/>
    <col min="10004" max="10239" width="9" style="3"/>
    <col min="10240" max="10240" width="4.85546875" style="3" customWidth="1"/>
    <col min="10241" max="10241" width="17.85546875" style="3" customWidth="1"/>
    <col min="10242" max="10242" width="18.140625" style="3" customWidth="1"/>
    <col min="10243" max="10259" width="9.140625" style="3" customWidth="1"/>
    <col min="10260" max="10495" width="9" style="3"/>
    <col min="10496" max="10496" width="4.85546875" style="3" customWidth="1"/>
    <col min="10497" max="10497" width="17.85546875" style="3" customWidth="1"/>
    <col min="10498" max="10498" width="18.140625" style="3" customWidth="1"/>
    <col min="10499" max="10515" width="9.140625" style="3" customWidth="1"/>
    <col min="10516" max="10751" width="9" style="3"/>
    <col min="10752" max="10752" width="4.85546875" style="3" customWidth="1"/>
    <col min="10753" max="10753" width="17.85546875" style="3" customWidth="1"/>
    <col min="10754" max="10754" width="18.140625" style="3" customWidth="1"/>
    <col min="10755" max="10771" width="9.140625" style="3" customWidth="1"/>
    <col min="10772" max="11007" width="9" style="3"/>
    <col min="11008" max="11008" width="4.85546875" style="3" customWidth="1"/>
    <col min="11009" max="11009" width="17.85546875" style="3" customWidth="1"/>
    <col min="11010" max="11010" width="18.140625" style="3" customWidth="1"/>
    <col min="11011" max="11027" width="9.140625" style="3" customWidth="1"/>
    <col min="11028" max="11263" width="9" style="3"/>
    <col min="11264" max="11264" width="4.85546875" style="3" customWidth="1"/>
    <col min="11265" max="11265" width="17.85546875" style="3" customWidth="1"/>
    <col min="11266" max="11266" width="18.140625" style="3" customWidth="1"/>
    <col min="11267" max="11283" width="9.140625" style="3" customWidth="1"/>
    <col min="11284" max="11519" width="9" style="3"/>
    <col min="11520" max="11520" width="4.85546875" style="3" customWidth="1"/>
    <col min="11521" max="11521" width="17.85546875" style="3" customWidth="1"/>
    <col min="11522" max="11522" width="18.140625" style="3" customWidth="1"/>
    <col min="11523" max="11539" width="9.140625" style="3" customWidth="1"/>
    <col min="11540" max="11775" width="9" style="3"/>
    <col min="11776" max="11776" width="4.85546875" style="3" customWidth="1"/>
    <col min="11777" max="11777" width="17.85546875" style="3" customWidth="1"/>
    <col min="11778" max="11778" width="18.140625" style="3" customWidth="1"/>
    <col min="11779" max="11795" width="9.140625" style="3" customWidth="1"/>
    <col min="11796" max="12031" width="9" style="3"/>
    <col min="12032" max="12032" width="4.85546875" style="3" customWidth="1"/>
    <col min="12033" max="12033" width="17.85546875" style="3" customWidth="1"/>
    <col min="12034" max="12034" width="18.140625" style="3" customWidth="1"/>
    <col min="12035" max="12051" width="9.140625" style="3" customWidth="1"/>
    <col min="12052" max="12287" width="9" style="3"/>
    <col min="12288" max="12288" width="4.85546875" style="3" customWidth="1"/>
    <col min="12289" max="12289" width="17.85546875" style="3" customWidth="1"/>
    <col min="12290" max="12290" width="18.140625" style="3" customWidth="1"/>
    <col min="12291" max="12307" width="9.140625" style="3" customWidth="1"/>
    <col min="12308" max="12543" width="9" style="3"/>
    <col min="12544" max="12544" width="4.85546875" style="3" customWidth="1"/>
    <col min="12545" max="12545" width="17.85546875" style="3" customWidth="1"/>
    <col min="12546" max="12546" width="18.140625" style="3" customWidth="1"/>
    <col min="12547" max="12563" width="9.140625" style="3" customWidth="1"/>
    <col min="12564" max="12799" width="9" style="3"/>
    <col min="12800" max="12800" width="4.85546875" style="3" customWidth="1"/>
    <col min="12801" max="12801" width="17.85546875" style="3" customWidth="1"/>
    <col min="12802" max="12802" width="18.140625" style="3" customWidth="1"/>
    <col min="12803" max="12819" width="9.140625" style="3" customWidth="1"/>
    <col min="12820" max="13055" width="9" style="3"/>
    <col min="13056" max="13056" width="4.85546875" style="3" customWidth="1"/>
    <col min="13057" max="13057" width="17.85546875" style="3" customWidth="1"/>
    <col min="13058" max="13058" width="18.140625" style="3" customWidth="1"/>
    <col min="13059" max="13075" width="9.140625" style="3" customWidth="1"/>
    <col min="13076" max="13311" width="9" style="3"/>
    <col min="13312" max="13312" width="4.85546875" style="3" customWidth="1"/>
    <col min="13313" max="13313" width="17.85546875" style="3" customWidth="1"/>
    <col min="13314" max="13314" width="18.140625" style="3" customWidth="1"/>
    <col min="13315" max="13331" width="9.140625" style="3" customWidth="1"/>
    <col min="13332" max="13567" width="9" style="3"/>
    <col min="13568" max="13568" width="4.85546875" style="3" customWidth="1"/>
    <col min="13569" max="13569" width="17.85546875" style="3" customWidth="1"/>
    <col min="13570" max="13570" width="18.140625" style="3" customWidth="1"/>
    <col min="13571" max="13587" width="9.140625" style="3" customWidth="1"/>
    <col min="13588" max="13823" width="9" style="3"/>
    <col min="13824" max="13824" width="4.85546875" style="3" customWidth="1"/>
    <col min="13825" max="13825" width="17.85546875" style="3" customWidth="1"/>
    <col min="13826" max="13826" width="18.140625" style="3" customWidth="1"/>
    <col min="13827" max="13843" width="9.140625" style="3" customWidth="1"/>
    <col min="13844" max="14079" width="9" style="3"/>
    <col min="14080" max="14080" width="4.85546875" style="3" customWidth="1"/>
    <col min="14081" max="14081" width="17.85546875" style="3" customWidth="1"/>
    <col min="14082" max="14082" width="18.140625" style="3" customWidth="1"/>
    <col min="14083" max="14099" width="9.140625" style="3" customWidth="1"/>
    <col min="14100" max="14335" width="9" style="3"/>
    <col min="14336" max="14336" width="4.85546875" style="3" customWidth="1"/>
    <col min="14337" max="14337" width="17.85546875" style="3" customWidth="1"/>
    <col min="14338" max="14338" width="18.140625" style="3" customWidth="1"/>
    <col min="14339" max="14355" width="9.140625" style="3" customWidth="1"/>
    <col min="14356" max="14591" width="9" style="3"/>
    <col min="14592" max="14592" width="4.85546875" style="3" customWidth="1"/>
    <col min="14593" max="14593" width="17.85546875" style="3" customWidth="1"/>
    <col min="14594" max="14594" width="18.140625" style="3" customWidth="1"/>
    <col min="14595" max="14611" width="9.140625" style="3" customWidth="1"/>
    <col min="14612" max="14847" width="9" style="3"/>
    <col min="14848" max="14848" width="4.85546875" style="3" customWidth="1"/>
    <col min="14849" max="14849" width="17.85546875" style="3" customWidth="1"/>
    <col min="14850" max="14850" width="18.140625" style="3" customWidth="1"/>
    <col min="14851" max="14867" width="9.140625" style="3" customWidth="1"/>
    <col min="14868" max="15103" width="9" style="3"/>
    <col min="15104" max="15104" width="4.85546875" style="3" customWidth="1"/>
    <col min="15105" max="15105" width="17.85546875" style="3" customWidth="1"/>
    <col min="15106" max="15106" width="18.140625" style="3" customWidth="1"/>
    <col min="15107" max="15123" width="9.140625" style="3" customWidth="1"/>
    <col min="15124" max="15359" width="9" style="3"/>
    <col min="15360" max="15360" width="4.85546875" style="3" customWidth="1"/>
    <col min="15361" max="15361" width="17.85546875" style="3" customWidth="1"/>
    <col min="15362" max="15362" width="18.140625" style="3" customWidth="1"/>
    <col min="15363" max="15379" width="9.140625" style="3" customWidth="1"/>
    <col min="15380" max="15615" width="9" style="3"/>
    <col min="15616" max="15616" width="4.85546875" style="3" customWidth="1"/>
    <col min="15617" max="15617" width="17.85546875" style="3" customWidth="1"/>
    <col min="15618" max="15618" width="18.140625" style="3" customWidth="1"/>
    <col min="15619" max="15635" width="9.140625" style="3" customWidth="1"/>
    <col min="15636" max="15871" width="9" style="3"/>
    <col min="15872" max="15872" width="4.85546875" style="3" customWidth="1"/>
    <col min="15873" max="15873" width="17.85546875" style="3" customWidth="1"/>
    <col min="15874" max="15874" width="18.140625" style="3" customWidth="1"/>
    <col min="15875" max="15891" width="9.140625" style="3" customWidth="1"/>
    <col min="15892" max="16127" width="9" style="3"/>
    <col min="16128" max="16128" width="4.85546875" style="3" customWidth="1"/>
    <col min="16129" max="16129" width="17.85546875" style="3" customWidth="1"/>
    <col min="16130" max="16130" width="18.140625" style="3" customWidth="1"/>
    <col min="16131" max="16147" width="9.140625" style="3" customWidth="1"/>
    <col min="16148" max="16384" width="9" style="3"/>
  </cols>
  <sheetData>
    <row r="1" spans="1:22" ht="34.5" thickBot="1" x14ac:dyDescent="0.3">
      <c r="A1" s="176" t="s">
        <v>69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8"/>
      <c r="T1" s="1"/>
      <c r="U1" s="1"/>
    </row>
    <row r="2" spans="1:22" ht="178.5" customHeight="1" thickBot="1" x14ac:dyDescent="0.3">
      <c r="A2" s="4" t="s">
        <v>0</v>
      </c>
      <c r="B2" s="5" t="s">
        <v>1</v>
      </c>
      <c r="C2" s="6" t="s">
        <v>2</v>
      </c>
      <c r="D2" s="7" t="s">
        <v>70</v>
      </c>
      <c r="E2" s="8" t="s">
        <v>71</v>
      </c>
      <c r="F2" s="7" t="s">
        <v>79</v>
      </c>
      <c r="G2" s="7" t="s">
        <v>80</v>
      </c>
      <c r="H2" s="7" t="s">
        <v>95</v>
      </c>
      <c r="I2" s="7" t="s">
        <v>94</v>
      </c>
      <c r="J2" s="8" t="s">
        <v>113</v>
      </c>
      <c r="K2" s="8" t="s">
        <v>114</v>
      </c>
      <c r="L2" s="8" t="s">
        <v>144</v>
      </c>
      <c r="M2" s="8" t="s">
        <v>145</v>
      </c>
      <c r="N2" s="8" t="s">
        <v>146</v>
      </c>
      <c r="O2" s="8" t="s">
        <v>148</v>
      </c>
      <c r="P2" s="8" t="s">
        <v>149</v>
      </c>
      <c r="Q2" s="7" t="s">
        <v>170</v>
      </c>
      <c r="R2" s="8" t="s">
        <v>171</v>
      </c>
      <c r="S2" s="9" t="s">
        <v>3</v>
      </c>
      <c r="T2" s="10"/>
      <c r="U2" s="10"/>
    </row>
    <row r="3" spans="1:22" x14ac:dyDescent="0.25">
      <c r="A3" s="13" t="s">
        <v>4</v>
      </c>
      <c r="B3" s="14" t="s">
        <v>28</v>
      </c>
      <c r="C3" s="15" t="s">
        <v>19</v>
      </c>
      <c r="D3" s="169">
        <f>100-(96.7-82.05)/82.05*50</f>
        <v>91.072516758074343</v>
      </c>
      <c r="E3" s="16"/>
      <c r="F3" s="17">
        <f>100-(32.47-32.47)/32.47*50</f>
        <v>100</v>
      </c>
      <c r="G3" s="17">
        <f>100-(100.45-100.45)/100.45*50</f>
        <v>100</v>
      </c>
      <c r="H3" s="16">
        <f>100-(41.9-41.62)/41.62*50</f>
        <v>99.663623258049014</v>
      </c>
      <c r="I3" s="16">
        <f>100-(92.45-83.63)/83.63*50</f>
        <v>94.726772689226351</v>
      </c>
      <c r="J3" s="17"/>
      <c r="K3" s="17">
        <f>100-(80.13-80.13)/80.13*50</f>
        <v>100</v>
      </c>
      <c r="L3" s="16"/>
      <c r="M3" s="17"/>
      <c r="N3" s="17"/>
      <c r="O3" s="17">
        <f>100-(42.17-42.17)/42.17*50</f>
        <v>100</v>
      </c>
      <c r="P3" s="17"/>
      <c r="Q3" s="18">
        <f>100-(47.32-47.32)/47.32*50</f>
        <v>100</v>
      </c>
      <c r="R3" s="16"/>
      <c r="S3" s="20">
        <f>SUM(D3:R3)-D3</f>
        <v>694.39039594727535</v>
      </c>
    </row>
    <row r="4" spans="1:22" x14ac:dyDescent="0.25">
      <c r="A4" s="22" t="s">
        <v>6</v>
      </c>
      <c r="B4" s="33" t="s">
        <v>51</v>
      </c>
      <c r="C4" s="32" t="s">
        <v>48</v>
      </c>
      <c r="D4" s="125">
        <f>100-(109.85-82.05)/82.05*50</f>
        <v>83.059110298598426</v>
      </c>
      <c r="E4" s="19">
        <f>100-(84.2-84.2)/84.2*50</f>
        <v>100</v>
      </c>
      <c r="F4" s="34"/>
      <c r="G4" s="18"/>
      <c r="H4" s="19"/>
      <c r="I4" s="36"/>
      <c r="J4" s="18"/>
      <c r="K4" s="18">
        <f>100-(103.18-80.13)/80.13*50</f>
        <v>85.617122176463241</v>
      </c>
      <c r="L4" s="19"/>
      <c r="M4" s="19"/>
      <c r="N4" s="18"/>
      <c r="O4" s="25">
        <f>100-(45.2-42.17)/42.17*50</f>
        <v>96.407398624614657</v>
      </c>
      <c r="P4" s="18">
        <f>100-(125.33-99.97)/99.97*50</f>
        <v>87.316194858457536</v>
      </c>
      <c r="Q4" s="18">
        <f>100-(55.7-47.32)/47.32*50</f>
        <v>91.145393068469986</v>
      </c>
      <c r="R4" s="18">
        <f>100-(61.52-48.32)/48.32*50</f>
        <v>86.341059602649011</v>
      </c>
      <c r="S4" s="26">
        <f>SUM(D4:R4)</f>
        <v>629.88627862925284</v>
      </c>
    </row>
    <row r="5" spans="1:22" x14ac:dyDescent="0.25">
      <c r="A5" s="22" t="s">
        <v>8</v>
      </c>
      <c r="B5" s="23" t="s">
        <v>60</v>
      </c>
      <c r="C5" s="24" t="s">
        <v>61</v>
      </c>
      <c r="D5" s="125"/>
      <c r="E5" s="19"/>
      <c r="F5" s="19"/>
      <c r="G5" s="18"/>
      <c r="H5" s="19"/>
      <c r="I5" s="19"/>
      <c r="J5" s="19">
        <f>100-(38.92-38.92)/38.92*50</f>
        <v>100</v>
      </c>
      <c r="K5" s="25">
        <f>100-(83.23-80.13)/80.13*50</f>
        <v>98.065643329589406</v>
      </c>
      <c r="L5" s="18"/>
      <c r="M5" s="18"/>
      <c r="N5" s="18"/>
      <c r="O5" s="18">
        <f>100-(43.37-42.17)/42.17*50</f>
        <v>98.577187574104812</v>
      </c>
      <c r="P5" s="18">
        <f>100-(108.3-99.97)/99.97*50</f>
        <v>95.833750125037511</v>
      </c>
      <c r="Q5" s="18">
        <f>100-(47.37-47.32)/47.32*50</f>
        <v>99.947168216398993</v>
      </c>
      <c r="R5" s="18">
        <f>100-(48.32-48.32)/48.32*50</f>
        <v>100</v>
      </c>
      <c r="S5" s="26">
        <f>SUM(D5:R5)</f>
        <v>592.42374924513069</v>
      </c>
    </row>
    <row r="6" spans="1:22" x14ac:dyDescent="0.25">
      <c r="A6" s="22" t="s">
        <v>11</v>
      </c>
      <c r="B6" s="116" t="s">
        <v>57</v>
      </c>
      <c r="C6" s="32" t="s">
        <v>56</v>
      </c>
      <c r="D6" s="142">
        <f>100-(157.47-82.05)/82.05*50</f>
        <v>54.040219378427786</v>
      </c>
      <c r="E6" s="19">
        <f>100-(110.72-84.2)/84.2*50</f>
        <v>84.251781472684087</v>
      </c>
      <c r="F6" s="19">
        <f>100-(43.88-32.47)/32.47*50</f>
        <v>82.429935324915306</v>
      </c>
      <c r="G6" s="33"/>
      <c r="H6" s="132">
        <f>100-(71.32-41.62)/41.62*50</f>
        <v>64.320038443056234</v>
      </c>
      <c r="I6" s="18">
        <f>100-(133.42-83.63)/83.63*50</f>
        <v>70.231974171947869</v>
      </c>
      <c r="J6" s="18">
        <f>100-(51.72-38.92)/38.92*50</f>
        <v>83.556012332990747</v>
      </c>
      <c r="K6" s="25">
        <f>100-(123.47-80.13)/80.13*50</f>
        <v>72.956445775614611</v>
      </c>
      <c r="L6" s="171">
        <f>100-(98.2-57.1)/57.1*50</f>
        <v>64.01050788091068</v>
      </c>
      <c r="M6" s="25">
        <f>100-(39.83-27.88)/27.88*50</f>
        <v>78.568866571018646</v>
      </c>
      <c r="N6" s="18"/>
      <c r="O6" s="18">
        <f>100-(61.03-42.17)/42.17*50</f>
        <v>77.638131373013991</v>
      </c>
      <c r="P6" s="18"/>
      <c r="Q6" s="132">
        <f>100-(86.52-47.32)/47.32*50</f>
        <v>58.579881656804737</v>
      </c>
      <c r="R6" s="171">
        <f>100-(91.85-48.32)/48.32*50</f>
        <v>54.956539735099348</v>
      </c>
      <c r="S6" s="26">
        <f>SUM(D6:R6)-D6-L6-H6-Q6-R6</f>
        <v>549.63314702218531</v>
      </c>
    </row>
    <row r="7" spans="1:22" x14ac:dyDescent="0.25">
      <c r="A7" s="22" t="s">
        <v>13</v>
      </c>
      <c r="B7" s="35" t="s">
        <v>59</v>
      </c>
      <c r="C7" s="24" t="s">
        <v>56</v>
      </c>
      <c r="D7" s="125">
        <f>100-(143.15-82.05)/82.05*50</f>
        <v>62.7666057282145</v>
      </c>
      <c r="E7" s="19">
        <f>100-(96-84.2)/84.2*50</f>
        <v>92.992874109263653</v>
      </c>
      <c r="F7" s="19"/>
      <c r="G7" s="33"/>
      <c r="H7" s="19">
        <f>100-(71.13-41.62)/41.62*50</f>
        <v>64.548294089380107</v>
      </c>
      <c r="I7" s="19">
        <f>100-(139.3-83.63)/83.63*50</f>
        <v>66.716489298098764</v>
      </c>
      <c r="J7" s="21"/>
      <c r="K7" s="18">
        <f>100-(109.73-80.13)/80.13*50</f>
        <v>81.530013727692491</v>
      </c>
      <c r="L7" s="18"/>
      <c r="M7" s="18"/>
      <c r="N7" s="18"/>
      <c r="O7" s="57"/>
      <c r="P7" s="18"/>
      <c r="Q7" s="18">
        <f>100-(58.17-47.32)/47.32*50</f>
        <v>88.535502958579883</v>
      </c>
      <c r="R7" s="18">
        <f>100-(70.53-48.32)/48.32*50</f>
        <v>77.017798013245027</v>
      </c>
      <c r="S7" s="26">
        <f t="shared" ref="S7:S22" si="0">SUM(D7:R7)</f>
        <v>534.10757792447453</v>
      </c>
    </row>
    <row r="8" spans="1:22" x14ac:dyDescent="0.25">
      <c r="A8" s="22" t="s">
        <v>15</v>
      </c>
      <c r="B8" s="35" t="s">
        <v>106</v>
      </c>
      <c r="C8" s="24" t="s">
        <v>17</v>
      </c>
      <c r="D8" s="116"/>
      <c r="E8" s="33"/>
      <c r="F8" s="170"/>
      <c r="G8" s="21"/>
      <c r="H8" s="19">
        <f>100-(62.68-41.62)/41.62*50</f>
        <v>74.699663623258047</v>
      </c>
      <c r="I8" s="19">
        <f>100-(112.37-83.63)/83.63*50</f>
        <v>82.81717087169676</v>
      </c>
      <c r="J8" s="18">
        <f>100-(42.97-38.92)/38.92*50</f>
        <v>94.797019527235364</v>
      </c>
      <c r="K8" s="25">
        <f>100-(109.2-80.13)/80.13*50</f>
        <v>81.860726319730432</v>
      </c>
      <c r="L8" s="18"/>
      <c r="M8" s="18"/>
      <c r="N8" s="18"/>
      <c r="O8" s="18">
        <f>100-(51.28-42.17)/42.17*50</f>
        <v>89.198482333412386</v>
      </c>
      <c r="P8" s="21"/>
      <c r="Q8" s="118"/>
      <c r="R8" s="36"/>
      <c r="S8" s="26">
        <f t="shared" si="0"/>
        <v>423.37306267533302</v>
      </c>
    </row>
    <row r="9" spans="1:22" x14ac:dyDescent="0.25">
      <c r="A9" s="22" t="s">
        <v>18</v>
      </c>
      <c r="B9" s="35" t="s">
        <v>64</v>
      </c>
      <c r="C9" s="24" t="s">
        <v>39</v>
      </c>
      <c r="D9" s="31"/>
      <c r="E9" s="35"/>
      <c r="F9" s="38"/>
      <c r="G9" s="21"/>
      <c r="H9" s="126"/>
      <c r="I9" s="19"/>
      <c r="J9" s="21"/>
      <c r="K9" s="33"/>
      <c r="L9" s="18"/>
      <c r="M9" s="18"/>
      <c r="N9" s="21"/>
      <c r="O9" s="25">
        <f>100-(51.75-42.17)/42.17*50</f>
        <v>88.641214133270097</v>
      </c>
      <c r="P9" s="25">
        <f>100-(99.97-99.97)/99.97*50</f>
        <v>100</v>
      </c>
      <c r="Q9" s="18">
        <f>100-(50.52-47.32)/47.32*50</f>
        <v>96.61876584953508</v>
      </c>
      <c r="R9" s="18">
        <f>100-(56.27-48.32)/48.32*50</f>
        <v>91.773592715231786</v>
      </c>
      <c r="S9" s="26">
        <f t="shared" si="0"/>
        <v>377.03357269803701</v>
      </c>
    </row>
    <row r="10" spans="1:22" x14ac:dyDescent="0.25">
      <c r="A10" s="22" t="s">
        <v>20</v>
      </c>
      <c r="B10" s="35" t="s">
        <v>16</v>
      </c>
      <c r="C10" s="24" t="s">
        <v>17</v>
      </c>
      <c r="D10" s="31">
        <f>100-(82.05-82.05)/82.05*50</f>
        <v>100</v>
      </c>
      <c r="E10" s="19"/>
      <c r="F10" s="18">
        <f>100-(38.25-32.47)/32.47*50</f>
        <v>91.099476439790578</v>
      </c>
      <c r="G10" s="18">
        <f>100-(107.12-100.45)/100.45*50</f>
        <v>96.679940268790446</v>
      </c>
      <c r="H10" s="19">
        <f>100-(51.67-41.62)/41.62*50</f>
        <v>87.926477654973567</v>
      </c>
      <c r="I10" s="18"/>
      <c r="J10" s="19"/>
      <c r="K10" s="25"/>
      <c r="L10" s="18"/>
      <c r="M10" s="18"/>
      <c r="N10" s="18"/>
      <c r="O10" s="18"/>
      <c r="P10" s="18"/>
      <c r="Q10" s="18"/>
      <c r="R10" s="18"/>
      <c r="S10" s="26">
        <f t="shared" si="0"/>
        <v>375.70589436355459</v>
      </c>
      <c r="V10" s="51"/>
    </row>
    <row r="11" spans="1:22" x14ac:dyDescent="0.25">
      <c r="A11" s="22" t="s">
        <v>23</v>
      </c>
      <c r="B11" s="35" t="s">
        <v>62</v>
      </c>
      <c r="C11" s="32" t="s">
        <v>39</v>
      </c>
      <c r="D11" s="31"/>
      <c r="E11" s="35"/>
      <c r="F11" s="38"/>
      <c r="G11" s="21"/>
      <c r="H11" s="126"/>
      <c r="I11" s="19"/>
      <c r="J11" s="21"/>
      <c r="K11" s="21"/>
      <c r="L11" s="18"/>
      <c r="M11" s="25"/>
      <c r="N11" s="21"/>
      <c r="O11" s="25">
        <f>100-(51.83-42.17)/42.17*50</f>
        <v>88.546359971543751</v>
      </c>
      <c r="P11" s="18">
        <f>100-(110.8-99.97)/99.97*50</f>
        <v>94.583375012503751</v>
      </c>
      <c r="Q11" s="18">
        <f>100-(51.6-47.32)/47.32*50</f>
        <v>95.477599323753168</v>
      </c>
      <c r="R11" s="18">
        <f>100-(54.33-48.32)/48.32*50</f>
        <v>93.781043046357624</v>
      </c>
      <c r="S11" s="26">
        <f t="shared" si="0"/>
        <v>372.38837735415831</v>
      </c>
    </row>
    <row r="12" spans="1:22" x14ac:dyDescent="0.25">
      <c r="A12" s="22" t="s">
        <v>26</v>
      </c>
      <c r="B12" s="35" t="s">
        <v>83</v>
      </c>
      <c r="C12" s="24" t="s">
        <v>84</v>
      </c>
      <c r="D12" s="31"/>
      <c r="E12" s="18"/>
      <c r="F12" s="18"/>
      <c r="G12" s="122" t="s">
        <v>12</v>
      </c>
      <c r="H12" s="19">
        <f>100-(56.17-41.62)/41.62*50</f>
        <v>82.520422873618443</v>
      </c>
      <c r="I12" s="18">
        <f>100-(108.52-83.63)/83.63*50</f>
        <v>85.118976443859864</v>
      </c>
      <c r="J12" s="18"/>
      <c r="K12" s="18"/>
      <c r="L12" s="18"/>
      <c r="M12" s="25"/>
      <c r="N12" s="18"/>
      <c r="O12" s="18"/>
      <c r="P12" s="25"/>
      <c r="Q12" s="18">
        <f>100-(56.28-47.32)/47.32*50</f>
        <v>90.532544378698219</v>
      </c>
      <c r="R12" s="18">
        <f>100-(58.95-48.32)/48.32*50</f>
        <v>89.000413907284766</v>
      </c>
      <c r="S12" s="26">
        <f t="shared" si="0"/>
        <v>347.17235760346131</v>
      </c>
    </row>
    <row r="13" spans="1:22" x14ac:dyDescent="0.25">
      <c r="A13" s="22" t="s">
        <v>27</v>
      </c>
      <c r="B13" s="35" t="s">
        <v>141</v>
      </c>
      <c r="C13" s="24" t="s">
        <v>142</v>
      </c>
      <c r="D13" s="31"/>
      <c r="E13" s="18"/>
      <c r="F13" s="34"/>
      <c r="G13" s="36"/>
      <c r="H13" s="19"/>
      <c r="I13" s="19"/>
      <c r="J13" s="18"/>
      <c r="K13" s="18"/>
      <c r="L13" s="19">
        <f>100-(57.1-57.1)/57.1*50</f>
        <v>100</v>
      </c>
      <c r="M13" s="19">
        <f>100-(27.88-27.88)/27.88*50</f>
        <v>100</v>
      </c>
      <c r="N13" s="19">
        <f>100-(111.15-111.15)/111.15*50</f>
        <v>100</v>
      </c>
      <c r="O13" s="18"/>
      <c r="P13" s="18"/>
      <c r="Q13" s="70"/>
      <c r="R13" s="18"/>
      <c r="S13" s="26">
        <f t="shared" si="0"/>
        <v>300</v>
      </c>
    </row>
    <row r="14" spans="1:22" x14ac:dyDescent="0.25">
      <c r="A14" s="22" t="s">
        <v>29</v>
      </c>
      <c r="B14" s="35" t="s">
        <v>139</v>
      </c>
      <c r="C14" s="24" t="s">
        <v>140</v>
      </c>
      <c r="D14" s="31"/>
      <c r="E14" s="18"/>
      <c r="F14" s="34"/>
      <c r="G14" s="36"/>
      <c r="H14" s="18"/>
      <c r="I14" s="19"/>
      <c r="J14" s="18"/>
      <c r="K14" s="18">
        <f>100-(134.02-80.13)/80.13*50</f>
        <v>66.3733932359915</v>
      </c>
      <c r="L14" s="18"/>
      <c r="M14" s="18"/>
      <c r="N14" s="18"/>
      <c r="O14" s="18">
        <f>100-(61.02-42.17)/42.17*50</f>
        <v>77.649988143229791</v>
      </c>
      <c r="P14" s="18">
        <f>100-(157.18-99.97)/99.97*50</f>
        <v>71.386415924777424</v>
      </c>
      <c r="Q14" s="70"/>
      <c r="R14" s="18">
        <f>100-(104.08-48.32)/48.32*50</f>
        <v>42.301324503311264</v>
      </c>
      <c r="S14" s="26">
        <f t="shared" si="0"/>
        <v>257.71112180730995</v>
      </c>
    </row>
    <row r="15" spans="1:22" x14ac:dyDescent="0.25">
      <c r="A15" s="22" t="s">
        <v>31</v>
      </c>
      <c r="B15" s="35" t="s">
        <v>104</v>
      </c>
      <c r="C15" s="24" t="s">
        <v>39</v>
      </c>
      <c r="D15" s="23"/>
      <c r="E15" s="18"/>
      <c r="F15" s="38"/>
      <c r="G15" s="21"/>
      <c r="H15" s="18">
        <f>100-(41.62-41.62)/41.62*50</f>
        <v>100</v>
      </c>
      <c r="I15" s="18">
        <f>100-(83.63-83.63)/83.63*50</f>
        <v>100</v>
      </c>
      <c r="J15" s="19"/>
      <c r="K15" s="25"/>
      <c r="L15" s="21"/>
      <c r="M15" s="21"/>
      <c r="N15" s="18"/>
      <c r="O15" s="18"/>
      <c r="P15" s="18"/>
      <c r="Q15" s="18"/>
      <c r="R15" s="18"/>
      <c r="S15" s="26">
        <f t="shared" si="0"/>
        <v>200</v>
      </c>
    </row>
    <row r="16" spans="1:22" x14ac:dyDescent="0.25">
      <c r="A16" s="22" t="s">
        <v>32</v>
      </c>
      <c r="B16" s="35" t="s">
        <v>177</v>
      </c>
      <c r="C16" s="24" t="s">
        <v>7</v>
      </c>
      <c r="D16" s="31"/>
      <c r="E16" s="21"/>
      <c r="F16" s="38"/>
      <c r="G16" s="21"/>
      <c r="H16" s="122"/>
      <c r="I16" s="18"/>
      <c r="J16" s="33"/>
      <c r="K16" s="21"/>
      <c r="L16" s="18"/>
      <c r="M16" s="18"/>
      <c r="N16" s="21"/>
      <c r="O16" s="57"/>
      <c r="P16" s="57"/>
      <c r="Q16" s="18">
        <f>100-(62.48-47.32)/47.32*50</f>
        <v>83.981403212172452</v>
      </c>
      <c r="R16" s="18">
        <f>100-(70.67-48.32)/48.32*50</f>
        <v>76.872930463576154</v>
      </c>
      <c r="S16" s="26">
        <f t="shared" si="0"/>
        <v>160.85433367574859</v>
      </c>
    </row>
    <row r="17" spans="1:19" x14ac:dyDescent="0.25">
      <c r="A17" s="22" t="s">
        <v>33</v>
      </c>
      <c r="B17" s="35" t="s">
        <v>130</v>
      </c>
      <c r="C17" s="24" t="s">
        <v>7</v>
      </c>
      <c r="D17" s="31"/>
      <c r="E17" s="18"/>
      <c r="F17" s="34"/>
      <c r="G17" s="18"/>
      <c r="H17" s="18"/>
      <c r="I17" s="18"/>
      <c r="J17" s="19">
        <f>100-(43.78-38.92)/38.92*50</f>
        <v>93.756423432682425</v>
      </c>
      <c r="K17" s="25"/>
      <c r="L17" s="18"/>
      <c r="M17" s="18"/>
      <c r="N17" s="18"/>
      <c r="O17" s="18"/>
      <c r="P17" s="18"/>
      <c r="Q17" s="118"/>
      <c r="R17" s="18"/>
      <c r="S17" s="26">
        <f t="shared" si="0"/>
        <v>93.756423432682425</v>
      </c>
    </row>
    <row r="18" spans="1:19" x14ac:dyDescent="0.25">
      <c r="A18" s="22" t="s">
        <v>34</v>
      </c>
      <c r="B18" s="35" t="s">
        <v>105</v>
      </c>
      <c r="C18" s="24" t="s">
        <v>19</v>
      </c>
      <c r="D18" s="31"/>
      <c r="E18" s="18"/>
      <c r="F18" s="34"/>
      <c r="G18" s="18"/>
      <c r="H18" s="18">
        <f>100-(58.15-41.62)/41.62*50</f>
        <v>80.141758769822204</v>
      </c>
      <c r="I18" s="122" t="s">
        <v>12</v>
      </c>
      <c r="J18" s="19"/>
      <c r="K18" s="25"/>
      <c r="L18" s="18"/>
      <c r="M18" s="18"/>
      <c r="N18" s="18"/>
      <c r="O18" s="25"/>
      <c r="P18" s="25"/>
      <c r="Q18" s="36"/>
      <c r="R18" s="18"/>
      <c r="S18" s="26">
        <f t="shared" si="0"/>
        <v>80.141758769822204</v>
      </c>
    </row>
    <row r="19" spans="1:19" x14ac:dyDescent="0.25">
      <c r="A19" s="22" t="s">
        <v>35</v>
      </c>
      <c r="B19" s="35" t="s">
        <v>129</v>
      </c>
      <c r="C19" s="24" t="s">
        <v>77</v>
      </c>
      <c r="D19" s="31"/>
      <c r="E19" s="18"/>
      <c r="F19" s="18"/>
      <c r="G19" s="18"/>
      <c r="H19" s="18"/>
      <c r="I19" s="18"/>
      <c r="J19" s="126" t="s">
        <v>12</v>
      </c>
      <c r="K19" s="25"/>
      <c r="L19" s="18"/>
      <c r="M19" s="18"/>
      <c r="N19" s="18"/>
      <c r="O19" s="146" t="s">
        <v>12</v>
      </c>
      <c r="P19" s="25">
        <f>100-(157.88-99.97)/99.97*50</f>
        <v>71.036310893267981</v>
      </c>
      <c r="Q19" s="36"/>
      <c r="R19" s="34"/>
      <c r="S19" s="26">
        <f t="shared" si="0"/>
        <v>71.036310893267981</v>
      </c>
    </row>
    <row r="20" spans="1:19" x14ac:dyDescent="0.25">
      <c r="A20" s="22" t="s">
        <v>68</v>
      </c>
      <c r="B20" s="35" t="s">
        <v>107</v>
      </c>
      <c r="C20" s="24" t="s">
        <v>56</v>
      </c>
      <c r="D20" s="23"/>
      <c r="E20" s="21"/>
      <c r="F20" s="38"/>
      <c r="G20" s="21"/>
      <c r="H20" s="18">
        <f>100-(69.13-41.62)/41.62*50</f>
        <v>66.950985103315716</v>
      </c>
      <c r="I20" s="21"/>
      <c r="J20" s="33"/>
      <c r="K20" s="21"/>
      <c r="L20" s="21"/>
      <c r="M20" s="18"/>
      <c r="N20" s="18"/>
      <c r="O20" s="21"/>
      <c r="P20" s="21"/>
      <c r="Q20" s="36"/>
      <c r="R20" s="21"/>
      <c r="S20" s="26">
        <f t="shared" si="0"/>
        <v>66.950985103315716</v>
      </c>
    </row>
    <row r="21" spans="1:19" x14ac:dyDescent="0.25">
      <c r="A21" s="148" t="s">
        <v>157</v>
      </c>
      <c r="B21" s="98" t="s">
        <v>108</v>
      </c>
      <c r="C21" s="97" t="s">
        <v>84</v>
      </c>
      <c r="D21" s="149"/>
      <c r="E21" s="58"/>
      <c r="F21" s="150"/>
      <c r="G21" s="58"/>
      <c r="H21" s="151" t="s">
        <v>12</v>
      </c>
      <c r="I21" s="99">
        <f>100-(197.73-83.63)/83.63*50</f>
        <v>31.782853043166327</v>
      </c>
      <c r="J21" s="102"/>
      <c r="K21" s="58"/>
      <c r="L21" s="99"/>
      <c r="M21" s="99"/>
      <c r="N21" s="58"/>
      <c r="O21" s="58"/>
      <c r="P21" s="21"/>
      <c r="Q21" s="21"/>
      <c r="R21" s="18"/>
      <c r="S21" s="26">
        <f t="shared" si="0"/>
        <v>31.782853043166327</v>
      </c>
    </row>
    <row r="22" spans="1:19" ht="15.75" thickBot="1" x14ac:dyDescent="0.3">
      <c r="A22" s="39" t="s">
        <v>184</v>
      </c>
      <c r="B22" s="60" t="s">
        <v>131</v>
      </c>
      <c r="C22" s="41"/>
      <c r="D22" s="40"/>
      <c r="E22" s="43"/>
      <c r="F22" s="72"/>
      <c r="G22" s="61"/>
      <c r="H22" s="61"/>
      <c r="I22" s="61"/>
      <c r="J22" s="43">
        <f>100-(100.07-38.92)/38.92*50</f>
        <v>21.441418293936295</v>
      </c>
      <c r="K22" s="127" t="s">
        <v>12</v>
      </c>
      <c r="L22" s="43"/>
      <c r="M22" s="43"/>
      <c r="N22" s="61"/>
      <c r="O22" s="61"/>
      <c r="P22" s="104"/>
      <c r="Q22" s="61"/>
      <c r="R22" s="42"/>
      <c r="S22" s="47">
        <f t="shared" si="0"/>
        <v>21.441418293936295</v>
      </c>
    </row>
    <row r="23" spans="1:19" x14ac:dyDescent="0.25">
      <c r="A23" s="2"/>
      <c r="B23" s="2"/>
      <c r="C23" s="2"/>
      <c r="D23" s="2"/>
      <c r="E23" s="2"/>
      <c r="F23" s="52"/>
      <c r="G23" s="2"/>
      <c r="H23" s="2"/>
      <c r="I23" s="2"/>
      <c r="J23" s="2"/>
      <c r="K23" s="2"/>
      <c r="L23" s="48"/>
      <c r="M23" s="2"/>
      <c r="N23" s="2"/>
      <c r="O23" s="2"/>
      <c r="P23" s="2"/>
      <c r="Q23" s="2"/>
      <c r="R23" s="48"/>
      <c r="S23" s="51"/>
    </row>
    <row r="24" spans="1:19" s="53" customFormat="1" x14ac:dyDescent="0.25">
      <c r="A24" s="53" t="s">
        <v>36</v>
      </c>
    </row>
    <row r="25" spans="1:19" s="54" customFormat="1" x14ac:dyDescent="0.25">
      <c r="A25" s="54" t="s">
        <v>37</v>
      </c>
    </row>
  </sheetData>
  <sortState ref="B3:S22">
    <sortCondition descending="1" ref="S3"/>
  </sortState>
  <mergeCells count="1">
    <mergeCell ref="A1:S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workbookViewId="0">
      <selection activeCell="G12" sqref="G12"/>
    </sheetView>
  </sheetViews>
  <sheetFormatPr defaultColWidth="9" defaultRowHeight="15" x14ac:dyDescent="0.25"/>
  <cols>
    <col min="1" max="1" width="5.42578125" style="3" customWidth="1"/>
    <col min="2" max="2" width="18" style="3" customWidth="1"/>
    <col min="3" max="3" width="11.85546875" style="3" customWidth="1"/>
    <col min="4" max="19" width="9.140625" style="3" customWidth="1"/>
    <col min="20" max="33" width="9" style="2"/>
    <col min="34" max="255" width="9" style="3"/>
    <col min="256" max="256" width="5.42578125" style="3" customWidth="1"/>
    <col min="257" max="257" width="18" style="3" customWidth="1"/>
    <col min="258" max="258" width="11.85546875" style="3" customWidth="1"/>
    <col min="259" max="275" width="9.140625" style="3" customWidth="1"/>
    <col min="276" max="511" width="9" style="3"/>
    <col min="512" max="512" width="5.42578125" style="3" customWidth="1"/>
    <col min="513" max="513" width="18" style="3" customWidth="1"/>
    <col min="514" max="514" width="11.85546875" style="3" customWidth="1"/>
    <col min="515" max="531" width="9.140625" style="3" customWidth="1"/>
    <col min="532" max="767" width="9" style="3"/>
    <col min="768" max="768" width="5.42578125" style="3" customWidth="1"/>
    <col min="769" max="769" width="18" style="3" customWidth="1"/>
    <col min="770" max="770" width="11.85546875" style="3" customWidth="1"/>
    <col min="771" max="787" width="9.140625" style="3" customWidth="1"/>
    <col min="788" max="1023" width="9" style="3"/>
    <col min="1024" max="1024" width="5.42578125" style="3" customWidth="1"/>
    <col min="1025" max="1025" width="18" style="3" customWidth="1"/>
    <col min="1026" max="1026" width="11.85546875" style="3" customWidth="1"/>
    <col min="1027" max="1043" width="9.140625" style="3" customWidth="1"/>
    <col min="1044" max="1279" width="9" style="3"/>
    <col min="1280" max="1280" width="5.42578125" style="3" customWidth="1"/>
    <col min="1281" max="1281" width="18" style="3" customWidth="1"/>
    <col min="1282" max="1282" width="11.85546875" style="3" customWidth="1"/>
    <col min="1283" max="1299" width="9.140625" style="3" customWidth="1"/>
    <col min="1300" max="1535" width="9" style="3"/>
    <col min="1536" max="1536" width="5.42578125" style="3" customWidth="1"/>
    <col min="1537" max="1537" width="18" style="3" customWidth="1"/>
    <col min="1538" max="1538" width="11.85546875" style="3" customWidth="1"/>
    <col min="1539" max="1555" width="9.140625" style="3" customWidth="1"/>
    <col min="1556" max="1791" width="9" style="3"/>
    <col min="1792" max="1792" width="5.42578125" style="3" customWidth="1"/>
    <col min="1793" max="1793" width="18" style="3" customWidth="1"/>
    <col min="1794" max="1794" width="11.85546875" style="3" customWidth="1"/>
    <col min="1795" max="1811" width="9.140625" style="3" customWidth="1"/>
    <col min="1812" max="2047" width="9" style="3"/>
    <col min="2048" max="2048" width="5.42578125" style="3" customWidth="1"/>
    <col min="2049" max="2049" width="18" style="3" customWidth="1"/>
    <col min="2050" max="2050" width="11.85546875" style="3" customWidth="1"/>
    <col min="2051" max="2067" width="9.140625" style="3" customWidth="1"/>
    <col min="2068" max="2303" width="9" style="3"/>
    <col min="2304" max="2304" width="5.42578125" style="3" customWidth="1"/>
    <col min="2305" max="2305" width="18" style="3" customWidth="1"/>
    <col min="2306" max="2306" width="11.85546875" style="3" customWidth="1"/>
    <col min="2307" max="2323" width="9.140625" style="3" customWidth="1"/>
    <col min="2324" max="2559" width="9" style="3"/>
    <col min="2560" max="2560" width="5.42578125" style="3" customWidth="1"/>
    <col min="2561" max="2561" width="18" style="3" customWidth="1"/>
    <col min="2562" max="2562" width="11.85546875" style="3" customWidth="1"/>
    <col min="2563" max="2579" width="9.140625" style="3" customWidth="1"/>
    <col min="2580" max="2815" width="9" style="3"/>
    <col min="2816" max="2816" width="5.42578125" style="3" customWidth="1"/>
    <col min="2817" max="2817" width="18" style="3" customWidth="1"/>
    <col min="2818" max="2818" width="11.85546875" style="3" customWidth="1"/>
    <col min="2819" max="2835" width="9.140625" style="3" customWidth="1"/>
    <col min="2836" max="3071" width="9" style="3"/>
    <col min="3072" max="3072" width="5.42578125" style="3" customWidth="1"/>
    <col min="3073" max="3073" width="18" style="3" customWidth="1"/>
    <col min="3074" max="3074" width="11.85546875" style="3" customWidth="1"/>
    <col min="3075" max="3091" width="9.140625" style="3" customWidth="1"/>
    <col min="3092" max="3327" width="9" style="3"/>
    <col min="3328" max="3328" width="5.42578125" style="3" customWidth="1"/>
    <col min="3329" max="3329" width="18" style="3" customWidth="1"/>
    <col min="3330" max="3330" width="11.85546875" style="3" customWidth="1"/>
    <col min="3331" max="3347" width="9.140625" style="3" customWidth="1"/>
    <col min="3348" max="3583" width="9" style="3"/>
    <col min="3584" max="3584" width="5.42578125" style="3" customWidth="1"/>
    <col min="3585" max="3585" width="18" style="3" customWidth="1"/>
    <col min="3586" max="3586" width="11.85546875" style="3" customWidth="1"/>
    <col min="3587" max="3603" width="9.140625" style="3" customWidth="1"/>
    <col min="3604" max="3839" width="9" style="3"/>
    <col min="3840" max="3840" width="5.42578125" style="3" customWidth="1"/>
    <col min="3841" max="3841" width="18" style="3" customWidth="1"/>
    <col min="3842" max="3842" width="11.85546875" style="3" customWidth="1"/>
    <col min="3843" max="3859" width="9.140625" style="3" customWidth="1"/>
    <col min="3860" max="4095" width="9" style="3"/>
    <col min="4096" max="4096" width="5.42578125" style="3" customWidth="1"/>
    <col min="4097" max="4097" width="18" style="3" customWidth="1"/>
    <col min="4098" max="4098" width="11.85546875" style="3" customWidth="1"/>
    <col min="4099" max="4115" width="9.140625" style="3" customWidth="1"/>
    <col min="4116" max="4351" width="9" style="3"/>
    <col min="4352" max="4352" width="5.42578125" style="3" customWidth="1"/>
    <col min="4353" max="4353" width="18" style="3" customWidth="1"/>
    <col min="4354" max="4354" width="11.85546875" style="3" customWidth="1"/>
    <col min="4355" max="4371" width="9.140625" style="3" customWidth="1"/>
    <col min="4372" max="4607" width="9" style="3"/>
    <col min="4608" max="4608" width="5.42578125" style="3" customWidth="1"/>
    <col min="4609" max="4609" width="18" style="3" customWidth="1"/>
    <col min="4610" max="4610" width="11.85546875" style="3" customWidth="1"/>
    <col min="4611" max="4627" width="9.140625" style="3" customWidth="1"/>
    <col min="4628" max="4863" width="9" style="3"/>
    <col min="4864" max="4864" width="5.42578125" style="3" customWidth="1"/>
    <col min="4865" max="4865" width="18" style="3" customWidth="1"/>
    <col min="4866" max="4866" width="11.85546875" style="3" customWidth="1"/>
    <col min="4867" max="4883" width="9.140625" style="3" customWidth="1"/>
    <col min="4884" max="5119" width="9" style="3"/>
    <col min="5120" max="5120" width="5.42578125" style="3" customWidth="1"/>
    <col min="5121" max="5121" width="18" style="3" customWidth="1"/>
    <col min="5122" max="5122" width="11.85546875" style="3" customWidth="1"/>
    <col min="5123" max="5139" width="9.140625" style="3" customWidth="1"/>
    <col min="5140" max="5375" width="9" style="3"/>
    <col min="5376" max="5376" width="5.42578125" style="3" customWidth="1"/>
    <col min="5377" max="5377" width="18" style="3" customWidth="1"/>
    <col min="5378" max="5378" width="11.85546875" style="3" customWidth="1"/>
    <col min="5379" max="5395" width="9.140625" style="3" customWidth="1"/>
    <col min="5396" max="5631" width="9" style="3"/>
    <col min="5632" max="5632" width="5.42578125" style="3" customWidth="1"/>
    <col min="5633" max="5633" width="18" style="3" customWidth="1"/>
    <col min="5634" max="5634" width="11.85546875" style="3" customWidth="1"/>
    <col min="5635" max="5651" width="9.140625" style="3" customWidth="1"/>
    <col min="5652" max="5887" width="9" style="3"/>
    <col min="5888" max="5888" width="5.42578125" style="3" customWidth="1"/>
    <col min="5889" max="5889" width="18" style="3" customWidth="1"/>
    <col min="5890" max="5890" width="11.85546875" style="3" customWidth="1"/>
    <col min="5891" max="5907" width="9.140625" style="3" customWidth="1"/>
    <col min="5908" max="6143" width="9" style="3"/>
    <col min="6144" max="6144" width="5.42578125" style="3" customWidth="1"/>
    <col min="6145" max="6145" width="18" style="3" customWidth="1"/>
    <col min="6146" max="6146" width="11.85546875" style="3" customWidth="1"/>
    <col min="6147" max="6163" width="9.140625" style="3" customWidth="1"/>
    <col min="6164" max="6399" width="9" style="3"/>
    <col min="6400" max="6400" width="5.42578125" style="3" customWidth="1"/>
    <col min="6401" max="6401" width="18" style="3" customWidth="1"/>
    <col min="6402" max="6402" width="11.85546875" style="3" customWidth="1"/>
    <col min="6403" max="6419" width="9.140625" style="3" customWidth="1"/>
    <col min="6420" max="6655" width="9" style="3"/>
    <col min="6656" max="6656" width="5.42578125" style="3" customWidth="1"/>
    <col min="6657" max="6657" width="18" style="3" customWidth="1"/>
    <col min="6658" max="6658" width="11.85546875" style="3" customWidth="1"/>
    <col min="6659" max="6675" width="9.140625" style="3" customWidth="1"/>
    <col min="6676" max="6911" width="9" style="3"/>
    <col min="6912" max="6912" width="5.42578125" style="3" customWidth="1"/>
    <col min="6913" max="6913" width="18" style="3" customWidth="1"/>
    <col min="6914" max="6914" width="11.85546875" style="3" customWidth="1"/>
    <col min="6915" max="6931" width="9.140625" style="3" customWidth="1"/>
    <col min="6932" max="7167" width="9" style="3"/>
    <col min="7168" max="7168" width="5.42578125" style="3" customWidth="1"/>
    <col min="7169" max="7169" width="18" style="3" customWidth="1"/>
    <col min="7170" max="7170" width="11.85546875" style="3" customWidth="1"/>
    <col min="7171" max="7187" width="9.140625" style="3" customWidth="1"/>
    <col min="7188" max="7423" width="9" style="3"/>
    <col min="7424" max="7424" width="5.42578125" style="3" customWidth="1"/>
    <col min="7425" max="7425" width="18" style="3" customWidth="1"/>
    <col min="7426" max="7426" width="11.85546875" style="3" customWidth="1"/>
    <col min="7427" max="7443" width="9.140625" style="3" customWidth="1"/>
    <col min="7444" max="7679" width="9" style="3"/>
    <col min="7680" max="7680" width="5.42578125" style="3" customWidth="1"/>
    <col min="7681" max="7681" width="18" style="3" customWidth="1"/>
    <col min="7682" max="7682" width="11.85546875" style="3" customWidth="1"/>
    <col min="7683" max="7699" width="9.140625" style="3" customWidth="1"/>
    <col min="7700" max="7935" width="9" style="3"/>
    <col min="7936" max="7936" width="5.42578125" style="3" customWidth="1"/>
    <col min="7937" max="7937" width="18" style="3" customWidth="1"/>
    <col min="7938" max="7938" width="11.85546875" style="3" customWidth="1"/>
    <col min="7939" max="7955" width="9.140625" style="3" customWidth="1"/>
    <col min="7956" max="8191" width="9" style="3"/>
    <col min="8192" max="8192" width="5.42578125" style="3" customWidth="1"/>
    <col min="8193" max="8193" width="18" style="3" customWidth="1"/>
    <col min="8194" max="8194" width="11.85546875" style="3" customWidth="1"/>
    <col min="8195" max="8211" width="9.140625" style="3" customWidth="1"/>
    <col min="8212" max="8447" width="9" style="3"/>
    <col min="8448" max="8448" width="5.42578125" style="3" customWidth="1"/>
    <col min="8449" max="8449" width="18" style="3" customWidth="1"/>
    <col min="8450" max="8450" width="11.85546875" style="3" customWidth="1"/>
    <col min="8451" max="8467" width="9.140625" style="3" customWidth="1"/>
    <col min="8468" max="8703" width="9" style="3"/>
    <col min="8704" max="8704" width="5.42578125" style="3" customWidth="1"/>
    <col min="8705" max="8705" width="18" style="3" customWidth="1"/>
    <col min="8706" max="8706" width="11.85546875" style="3" customWidth="1"/>
    <col min="8707" max="8723" width="9.140625" style="3" customWidth="1"/>
    <col min="8724" max="8959" width="9" style="3"/>
    <col min="8960" max="8960" width="5.42578125" style="3" customWidth="1"/>
    <col min="8961" max="8961" width="18" style="3" customWidth="1"/>
    <col min="8962" max="8962" width="11.85546875" style="3" customWidth="1"/>
    <col min="8963" max="8979" width="9.140625" style="3" customWidth="1"/>
    <col min="8980" max="9215" width="9" style="3"/>
    <col min="9216" max="9216" width="5.42578125" style="3" customWidth="1"/>
    <col min="9217" max="9217" width="18" style="3" customWidth="1"/>
    <col min="9218" max="9218" width="11.85546875" style="3" customWidth="1"/>
    <col min="9219" max="9235" width="9.140625" style="3" customWidth="1"/>
    <col min="9236" max="9471" width="9" style="3"/>
    <col min="9472" max="9472" width="5.42578125" style="3" customWidth="1"/>
    <col min="9473" max="9473" width="18" style="3" customWidth="1"/>
    <col min="9474" max="9474" width="11.85546875" style="3" customWidth="1"/>
    <col min="9475" max="9491" width="9.140625" style="3" customWidth="1"/>
    <col min="9492" max="9727" width="9" style="3"/>
    <col min="9728" max="9728" width="5.42578125" style="3" customWidth="1"/>
    <col min="9729" max="9729" width="18" style="3" customWidth="1"/>
    <col min="9730" max="9730" width="11.85546875" style="3" customWidth="1"/>
    <col min="9731" max="9747" width="9.140625" style="3" customWidth="1"/>
    <col min="9748" max="9983" width="9" style="3"/>
    <col min="9984" max="9984" width="5.42578125" style="3" customWidth="1"/>
    <col min="9985" max="9985" width="18" style="3" customWidth="1"/>
    <col min="9986" max="9986" width="11.85546875" style="3" customWidth="1"/>
    <col min="9987" max="10003" width="9.140625" style="3" customWidth="1"/>
    <col min="10004" max="10239" width="9" style="3"/>
    <col min="10240" max="10240" width="5.42578125" style="3" customWidth="1"/>
    <col min="10241" max="10241" width="18" style="3" customWidth="1"/>
    <col min="10242" max="10242" width="11.85546875" style="3" customWidth="1"/>
    <col min="10243" max="10259" width="9.140625" style="3" customWidth="1"/>
    <col min="10260" max="10495" width="9" style="3"/>
    <col min="10496" max="10496" width="5.42578125" style="3" customWidth="1"/>
    <col min="10497" max="10497" width="18" style="3" customWidth="1"/>
    <col min="10498" max="10498" width="11.85546875" style="3" customWidth="1"/>
    <col min="10499" max="10515" width="9.140625" style="3" customWidth="1"/>
    <col min="10516" max="10751" width="9" style="3"/>
    <col min="10752" max="10752" width="5.42578125" style="3" customWidth="1"/>
    <col min="10753" max="10753" width="18" style="3" customWidth="1"/>
    <col min="10754" max="10754" width="11.85546875" style="3" customWidth="1"/>
    <col min="10755" max="10771" width="9.140625" style="3" customWidth="1"/>
    <col min="10772" max="11007" width="9" style="3"/>
    <col min="11008" max="11008" width="5.42578125" style="3" customWidth="1"/>
    <col min="11009" max="11009" width="18" style="3" customWidth="1"/>
    <col min="11010" max="11010" width="11.85546875" style="3" customWidth="1"/>
    <col min="11011" max="11027" width="9.140625" style="3" customWidth="1"/>
    <col min="11028" max="11263" width="9" style="3"/>
    <col min="11264" max="11264" width="5.42578125" style="3" customWidth="1"/>
    <col min="11265" max="11265" width="18" style="3" customWidth="1"/>
    <col min="11266" max="11266" width="11.85546875" style="3" customWidth="1"/>
    <col min="11267" max="11283" width="9.140625" style="3" customWidth="1"/>
    <col min="11284" max="11519" width="9" style="3"/>
    <col min="11520" max="11520" width="5.42578125" style="3" customWidth="1"/>
    <col min="11521" max="11521" width="18" style="3" customWidth="1"/>
    <col min="11522" max="11522" width="11.85546875" style="3" customWidth="1"/>
    <col min="11523" max="11539" width="9.140625" style="3" customWidth="1"/>
    <col min="11540" max="11775" width="9" style="3"/>
    <col min="11776" max="11776" width="5.42578125" style="3" customWidth="1"/>
    <col min="11777" max="11777" width="18" style="3" customWidth="1"/>
    <col min="11778" max="11778" width="11.85546875" style="3" customWidth="1"/>
    <col min="11779" max="11795" width="9.140625" style="3" customWidth="1"/>
    <col min="11796" max="12031" width="9" style="3"/>
    <col min="12032" max="12032" width="5.42578125" style="3" customWidth="1"/>
    <col min="12033" max="12033" width="18" style="3" customWidth="1"/>
    <col min="12034" max="12034" width="11.85546875" style="3" customWidth="1"/>
    <col min="12035" max="12051" width="9.140625" style="3" customWidth="1"/>
    <col min="12052" max="12287" width="9" style="3"/>
    <col min="12288" max="12288" width="5.42578125" style="3" customWidth="1"/>
    <col min="12289" max="12289" width="18" style="3" customWidth="1"/>
    <col min="12290" max="12290" width="11.85546875" style="3" customWidth="1"/>
    <col min="12291" max="12307" width="9.140625" style="3" customWidth="1"/>
    <col min="12308" max="12543" width="9" style="3"/>
    <col min="12544" max="12544" width="5.42578125" style="3" customWidth="1"/>
    <col min="12545" max="12545" width="18" style="3" customWidth="1"/>
    <col min="12546" max="12546" width="11.85546875" style="3" customWidth="1"/>
    <col min="12547" max="12563" width="9.140625" style="3" customWidth="1"/>
    <col min="12564" max="12799" width="9" style="3"/>
    <col min="12800" max="12800" width="5.42578125" style="3" customWidth="1"/>
    <col min="12801" max="12801" width="18" style="3" customWidth="1"/>
    <col min="12802" max="12802" width="11.85546875" style="3" customWidth="1"/>
    <col min="12803" max="12819" width="9.140625" style="3" customWidth="1"/>
    <col min="12820" max="13055" width="9" style="3"/>
    <col min="13056" max="13056" width="5.42578125" style="3" customWidth="1"/>
    <col min="13057" max="13057" width="18" style="3" customWidth="1"/>
    <col min="13058" max="13058" width="11.85546875" style="3" customWidth="1"/>
    <col min="13059" max="13075" width="9.140625" style="3" customWidth="1"/>
    <col min="13076" max="13311" width="9" style="3"/>
    <col min="13312" max="13312" width="5.42578125" style="3" customWidth="1"/>
    <col min="13313" max="13313" width="18" style="3" customWidth="1"/>
    <col min="13314" max="13314" width="11.85546875" style="3" customWidth="1"/>
    <col min="13315" max="13331" width="9.140625" style="3" customWidth="1"/>
    <col min="13332" max="13567" width="9" style="3"/>
    <col min="13568" max="13568" width="5.42578125" style="3" customWidth="1"/>
    <col min="13569" max="13569" width="18" style="3" customWidth="1"/>
    <col min="13570" max="13570" width="11.85546875" style="3" customWidth="1"/>
    <col min="13571" max="13587" width="9.140625" style="3" customWidth="1"/>
    <col min="13588" max="13823" width="9" style="3"/>
    <col min="13824" max="13824" width="5.42578125" style="3" customWidth="1"/>
    <col min="13825" max="13825" width="18" style="3" customWidth="1"/>
    <col min="13826" max="13826" width="11.85546875" style="3" customWidth="1"/>
    <col min="13827" max="13843" width="9.140625" style="3" customWidth="1"/>
    <col min="13844" max="14079" width="9" style="3"/>
    <col min="14080" max="14080" width="5.42578125" style="3" customWidth="1"/>
    <col min="14081" max="14081" width="18" style="3" customWidth="1"/>
    <col min="14082" max="14082" width="11.85546875" style="3" customWidth="1"/>
    <col min="14083" max="14099" width="9.140625" style="3" customWidth="1"/>
    <col min="14100" max="14335" width="9" style="3"/>
    <col min="14336" max="14336" width="5.42578125" style="3" customWidth="1"/>
    <col min="14337" max="14337" width="18" style="3" customWidth="1"/>
    <col min="14338" max="14338" width="11.85546875" style="3" customWidth="1"/>
    <col min="14339" max="14355" width="9.140625" style="3" customWidth="1"/>
    <col min="14356" max="14591" width="9" style="3"/>
    <col min="14592" max="14592" width="5.42578125" style="3" customWidth="1"/>
    <col min="14593" max="14593" width="18" style="3" customWidth="1"/>
    <col min="14594" max="14594" width="11.85546875" style="3" customWidth="1"/>
    <col min="14595" max="14611" width="9.140625" style="3" customWidth="1"/>
    <col min="14612" max="14847" width="9" style="3"/>
    <col min="14848" max="14848" width="5.42578125" style="3" customWidth="1"/>
    <col min="14849" max="14849" width="18" style="3" customWidth="1"/>
    <col min="14850" max="14850" width="11.85546875" style="3" customWidth="1"/>
    <col min="14851" max="14867" width="9.140625" style="3" customWidth="1"/>
    <col min="14868" max="15103" width="9" style="3"/>
    <col min="15104" max="15104" width="5.42578125" style="3" customWidth="1"/>
    <col min="15105" max="15105" width="18" style="3" customWidth="1"/>
    <col min="15106" max="15106" width="11.85546875" style="3" customWidth="1"/>
    <col min="15107" max="15123" width="9.140625" style="3" customWidth="1"/>
    <col min="15124" max="15359" width="9" style="3"/>
    <col min="15360" max="15360" width="5.42578125" style="3" customWidth="1"/>
    <col min="15361" max="15361" width="18" style="3" customWidth="1"/>
    <col min="15362" max="15362" width="11.85546875" style="3" customWidth="1"/>
    <col min="15363" max="15379" width="9.140625" style="3" customWidth="1"/>
    <col min="15380" max="15615" width="9" style="3"/>
    <col min="15616" max="15616" width="5.42578125" style="3" customWidth="1"/>
    <col min="15617" max="15617" width="18" style="3" customWidth="1"/>
    <col min="15618" max="15618" width="11.85546875" style="3" customWidth="1"/>
    <col min="15619" max="15635" width="9.140625" style="3" customWidth="1"/>
    <col min="15636" max="15871" width="9" style="3"/>
    <col min="15872" max="15872" width="5.42578125" style="3" customWidth="1"/>
    <col min="15873" max="15873" width="18" style="3" customWidth="1"/>
    <col min="15874" max="15874" width="11.85546875" style="3" customWidth="1"/>
    <col min="15875" max="15891" width="9.140625" style="3" customWidth="1"/>
    <col min="15892" max="16127" width="9" style="3"/>
    <col min="16128" max="16128" width="5.42578125" style="3" customWidth="1"/>
    <col min="16129" max="16129" width="18" style="3" customWidth="1"/>
    <col min="16130" max="16130" width="11.85546875" style="3" customWidth="1"/>
    <col min="16131" max="16147" width="9.140625" style="3" customWidth="1"/>
    <col min="16148" max="16384" width="9" style="3"/>
  </cols>
  <sheetData>
    <row r="1" spans="1:21" ht="34.5" thickBot="1" x14ac:dyDescent="0.3">
      <c r="A1" s="176" t="s">
        <v>69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8"/>
      <c r="T1" s="1"/>
      <c r="U1" s="1"/>
    </row>
    <row r="2" spans="1:21" ht="171.75" customHeight="1" thickBot="1" x14ac:dyDescent="0.3">
      <c r="A2" s="82" t="s">
        <v>0</v>
      </c>
      <c r="B2" s="5" t="s">
        <v>1</v>
      </c>
      <c r="C2" s="6" t="s">
        <v>2</v>
      </c>
      <c r="D2" s="7" t="s">
        <v>70</v>
      </c>
      <c r="E2" s="8" t="s">
        <v>71</v>
      </c>
      <c r="F2" s="7" t="s">
        <v>79</v>
      </c>
      <c r="G2" s="7" t="s">
        <v>80</v>
      </c>
      <c r="H2" s="7" t="s">
        <v>95</v>
      </c>
      <c r="I2" s="7" t="s">
        <v>94</v>
      </c>
      <c r="J2" s="8" t="s">
        <v>113</v>
      </c>
      <c r="K2" s="8" t="s">
        <v>114</v>
      </c>
      <c r="L2" s="8" t="s">
        <v>144</v>
      </c>
      <c r="M2" s="8" t="s">
        <v>145</v>
      </c>
      <c r="N2" s="8" t="s">
        <v>146</v>
      </c>
      <c r="O2" s="8" t="s">
        <v>148</v>
      </c>
      <c r="P2" s="8" t="s">
        <v>149</v>
      </c>
      <c r="Q2" s="7" t="s">
        <v>170</v>
      </c>
      <c r="R2" s="8" t="s">
        <v>171</v>
      </c>
      <c r="S2" s="9" t="s">
        <v>3</v>
      </c>
      <c r="T2" s="10"/>
      <c r="U2" s="10"/>
    </row>
    <row r="3" spans="1:21" x14ac:dyDescent="0.25">
      <c r="A3" s="80" t="s">
        <v>4</v>
      </c>
      <c r="B3" s="14" t="s">
        <v>88</v>
      </c>
      <c r="C3" s="15" t="s">
        <v>61</v>
      </c>
      <c r="D3" s="86"/>
      <c r="E3" s="17"/>
      <c r="F3" s="17"/>
      <c r="G3" s="17">
        <f>100-(72.22-72.22)/72.22*50</f>
        <v>100</v>
      </c>
      <c r="H3" s="17">
        <f>100-(44.75-44.75)/44.75*50</f>
        <v>100</v>
      </c>
      <c r="I3" s="17">
        <f>100-(83.07-83.07)/83.07*50</f>
        <v>100</v>
      </c>
      <c r="J3" s="17"/>
      <c r="K3" s="17"/>
      <c r="L3" s="17"/>
      <c r="M3" s="17"/>
      <c r="N3" s="17"/>
      <c r="O3" s="17"/>
      <c r="P3" s="17"/>
      <c r="Q3" s="17"/>
      <c r="R3" s="17"/>
      <c r="S3" s="20">
        <f>SUM(D3:R3)</f>
        <v>300</v>
      </c>
    </row>
    <row r="4" spans="1:21" x14ac:dyDescent="0.25">
      <c r="A4" s="123" t="s">
        <v>6</v>
      </c>
      <c r="B4" s="116" t="s">
        <v>164</v>
      </c>
      <c r="C4" s="32" t="s">
        <v>19</v>
      </c>
      <c r="D4" s="125"/>
      <c r="E4" s="25"/>
      <c r="F4" s="25"/>
      <c r="G4" s="25"/>
      <c r="H4" s="25"/>
      <c r="I4" s="25"/>
      <c r="J4" s="25"/>
      <c r="K4" s="25"/>
      <c r="L4" s="25"/>
      <c r="M4" s="25"/>
      <c r="N4" s="25"/>
      <c r="O4" s="18">
        <f>100-(54.05-54.05)/54.05*50</f>
        <v>100</v>
      </c>
      <c r="P4" s="25"/>
      <c r="Q4" s="25"/>
      <c r="R4" s="25"/>
      <c r="S4" s="137">
        <f>SUM(D4:R4)</f>
        <v>100</v>
      </c>
    </row>
    <row r="5" spans="1:21" x14ac:dyDescent="0.25">
      <c r="A5" s="124" t="s">
        <v>6</v>
      </c>
      <c r="B5" s="100" t="s">
        <v>93</v>
      </c>
      <c r="C5" s="101" t="s">
        <v>19</v>
      </c>
      <c r="D5" s="125"/>
      <c r="E5" s="76"/>
      <c r="F5" s="76">
        <f>100-(47.6-47.6)/47.6*50</f>
        <v>100</v>
      </c>
      <c r="G5" s="76"/>
      <c r="H5" s="25"/>
      <c r="I5" s="76"/>
      <c r="J5" s="76"/>
      <c r="K5" s="25"/>
      <c r="L5" s="25"/>
      <c r="M5" s="76"/>
      <c r="N5" s="76"/>
      <c r="O5" s="76"/>
      <c r="P5" s="76"/>
      <c r="Q5" s="76"/>
      <c r="R5" s="76"/>
      <c r="S5" s="26">
        <f>SUM(D5:R5)</f>
        <v>100</v>
      </c>
    </row>
    <row r="6" spans="1:21" ht="15.75" thickBot="1" x14ac:dyDescent="0.3">
      <c r="A6" s="84" t="s">
        <v>11</v>
      </c>
      <c r="B6" s="40" t="s">
        <v>111</v>
      </c>
      <c r="C6" s="41" t="s">
        <v>42</v>
      </c>
      <c r="D6" s="89"/>
      <c r="E6" s="43"/>
      <c r="F6" s="43"/>
      <c r="G6" s="43"/>
      <c r="H6" s="43">
        <f>100-(59.72-44.75)/44.75*50</f>
        <v>83.273743016759781</v>
      </c>
      <c r="I6" s="43"/>
      <c r="J6" s="43"/>
      <c r="K6" s="46"/>
      <c r="L6" s="46"/>
      <c r="M6" s="43"/>
      <c r="N6" s="43"/>
      <c r="O6" s="43"/>
      <c r="P6" s="43"/>
      <c r="Q6" s="43"/>
      <c r="R6" s="43"/>
      <c r="S6" s="107">
        <f>SUM(D6:R6)</f>
        <v>83.273743016759781</v>
      </c>
    </row>
    <row r="7" spans="1:2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48"/>
      <c r="O7" s="48"/>
      <c r="P7" s="48"/>
      <c r="Q7" s="48"/>
      <c r="R7" s="50"/>
      <c r="S7" s="51"/>
    </row>
    <row r="8" spans="1:2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48"/>
      <c r="O8" s="48"/>
      <c r="P8" s="48"/>
      <c r="Q8" s="48"/>
      <c r="R8" s="2"/>
      <c r="S8" s="51"/>
    </row>
    <row r="9" spans="1:2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48"/>
      <c r="O9" s="2"/>
      <c r="P9" s="2"/>
      <c r="Q9" s="2"/>
      <c r="R9" s="2"/>
      <c r="S9" s="2"/>
    </row>
    <row r="10" spans="1:21" s="53" customFormat="1" x14ac:dyDescent="0.25">
      <c r="A10" s="53" t="s">
        <v>36</v>
      </c>
    </row>
    <row r="11" spans="1:21" s="54" customFormat="1" x14ac:dyDescent="0.25">
      <c r="A11" s="54" t="s">
        <v>37</v>
      </c>
    </row>
  </sheetData>
  <sortState ref="B3:T5">
    <sortCondition descending="1" ref="S3"/>
  </sortState>
  <mergeCells count="1">
    <mergeCell ref="A1:S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workbookViewId="0">
      <selection activeCell="V9" sqref="V9"/>
    </sheetView>
  </sheetViews>
  <sheetFormatPr defaultColWidth="9" defaultRowHeight="15" x14ac:dyDescent="0.25"/>
  <cols>
    <col min="1" max="1" width="5.42578125" style="3" customWidth="1"/>
    <col min="2" max="2" width="18" style="3" customWidth="1"/>
    <col min="3" max="3" width="11.85546875" style="3" customWidth="1"/>
    <col min="4" max="19" width="9.140625" style="3" customWidth="1"/>
    <col min="20" max="33" width="9" style="2"/>
    <col min="34" max="255" width="9" style="3"/>
    <col min="256" max="256" width="5.42578125" style="3" customWidth="1"/>
    <col min="257" max="257" width="18" style="3" customWidth="1"/>
    <col min="258" max="258" width="11.85546875" style="3" customWidth="1"/>
    <col min="259" max="275" width="9.140625" style="3" customWidth="1"/>
    <col min="276" max="511" width="9" style="3"/>
    <col min="512" max="512" width="5.42578125" style="3" customWidth="1"/>
    <col min="513" max="513" width="18" style="3" customWidth="1"/>
    <col min="514" max="514" width="11.85546875" style="3" customWidth="1"/>
    <col min="515" max="531" width="9.140625" style="3" customWidth="1"/>
    <col min="532" max="767" width="9" style="3"/>
    <col min="768" max="768" width="5.42578125" style="3" customWidth="1"/>
    <col min="769" max="769" width="18" style="3" customWidth="1"/>
    <col min="770" max="770" width="11.85546875" style="3" customWidth="1"/>
    <col min="771" max="787" width="9.140625" style="3" customWidth="1"/>
    <col min="788" max="1023" width="9" style="3"/>
    <col min="1024" max="1024" width="5.42578125" style="3" customWidth="1"/>
    <col min="1025" max="1025" width="18" style="3" customWidth="1"/>
    <col min="1026" max="1026" width="11.85546875" style="3" customWidth="1"/>
    <col min="1027" max="1043" width="9.140625" style="3" customWidth="1"/>
    <col min="1044" max="1279" width="9" style="3"/>
    <col min="1280" max="1280" width="5.42578125" style="3" customWidth="1"/>
    <col min="1281" max="1281" width="18" style="3" customWidth="1"/>
    <col min="1282" max="1282" width="11.85546875" style="3" customWidth="1"/>
    <col min="1283" max="1299" width="9.140625" style="3" customWidth="1"/>
    <col min="1300" max="1535" width="9" style="3"/>
    <col min="1536" max="1536" width="5.42578125" style="3" customWidth="1"/>
    <col min="1537" max="1537" width="18" style="3" customWidth="1"/>
    <col min="1538" max="1538" width="11.85546875" style="3" customWidth="1"/>
    <col min="1539" max="1555" width="9.140625" style="3" customWidth="1"/>
    <col min="1556" max="1791" width="9" style="3"/>
    <col min="1792" max="1792" width="5.42578125" style="3" customWidth="1"/>
    <col min="1793" max="1793" width="18" style="3" customWidth="1"/>
    <col min="1794" max="1794" width="11.85546875" style="3" customWidth="1"/>
    <col min="1795" max="1811" width="9.140625" style="3" customWidth="1"/>
    <col min="1812" max="2047" width="9" style="3"/>
    <col min="2048" max="2048" width="5.42578125" style="3" customWidth="1"/>
    <col min="2049" max="2049" width="18" style="3" customWidth="1"/>
    <col min="2050" max="2050" width="11.85546875" style="3" customWidth="1"/>
    <col min="2051" max="2067" width="9.140625" style="3" customWidth="1"/>
    <col min="2068" max="2303" width="9" style="3"/>
    <col min="2304" max="2304" width="5.42578125" style="3" customWidth="1"/>
    <col min="2305" max="2305" width="18" style="3" customWidth="1"/>
    <col min="2306" max="2306" width="11.85546875" style="3" customWidth="1"/>
    <col min="2307" max="2323" width="9.140625" style="3" customWidth="1"/>
    <col min="2324" max="2559" width="9" style="3"/>
    <col min="2560" max="2560" width="5.42578125" style="3" customWidth="1"/>
    <col min="2561" max="2561" width="18" style="3" customWidth="1"/>
    <col min="2562" max="2562" width="11.85546875" style="3" customWidth="1"/>
    <col min="2563" max="2579" width="9.140625" style="3" customWidth="1"/>
    <col min="2580" max="2815" width="9" style="3"/>
    <col min="2816" max="2816" width="5.42578125" style="3" customWidth="1"/>
    <col min="2817" max="2817" width="18" style="3" customWidth="1"/>
    <col min="2818" max="2818" width="11.85546875" style="3" customWidth="1"/>
    <col min="2819" max="2835" width="9.140625" style="3" customWidth="1"/>
    <col min="2836" max="3071" width="9" style="3"/>
    <col min="3072" max="3072" width="5.42578125" style="3" customWidth="1"/>
    <col min="3073" max="3073" width="18" style="3" customWidth="1"/>
    <col min="3074" max="3074" width="11.85546875" style="3" customWidth="1"/>
    <col min="3075" max="3091" width="9.140625" style="3" customWidth="1"/>
    <col min="3092" max="3327" width="9" style="3"/>
    <col min="3328" max="3328" width="5.42578125" style="3" customWidth="1"/>
    <col min="3329" max="3329" width="18" style="3" customWidth="1"/>
    <col min="3330" max="3330" width="11.85546875" style="3" customWidth="1"/>
    <col min="3331" max="3347" width="9.140625" style="3" customWidth="1"/>
    <col min="3348" max="3583" width="9" style="3"/>
    <col min="3584" max="3584" width="5.42578125" style="3" customWidth="1"/>
    <col min="3585" max="3585" width="18" style="3" customWidth="1"/>
    <col min="3586" max="3586" width="11.85546875" style="3" customWidth="1"/>
    <col min="3587" max="3603" width="9.140625" style="3" customWidth="1"/>
    <col min="3604" max="3839" width="9" style="3"/>
    <col min="3840" max="3840" width="5.42578125" style="3" customWidth="1"/>
    <col min="3841" max="3841" width="18" style="3" customWidth="1"/>
    <col min="3842" max="3842" width="11.85546875" style="3" customWidth="1"/>
    <col min="3843" max="3859" width="9.140625" style="3" customWidth="1"/>
    <col min="3860" max="4095" width="9" style="3"/>
    <col min="4096" max="4096" width="5.42578125" style="3" customWidth="1"/>
    <col min="4097" max="4097" width="18" style="3" customWidth="1"/>
    <col min="4098" max="4098" width="11.85546875" style="3" customWidth="1"/>
    <col min="4099" max="4115" width="9.140625" style="3" customWidth="1"/>
    <col min="4116" max="4351" width="9" style="3"/>
    <col min="4352" max="4352" width="5.42578125" style="3" customWidth="1"/>
    <col min="4353" max="4353" width="18" style="3" customWidth="1"/>
    <col min="4354" max="4354" width="11.85546875" style="3" customWidth="1"/>
    <col min="4355" max="4371" width="9.140625" style="3" customWidth="1"/>
    <col min="4372" max="4607" width="9" style="3"/>
    <col min="4608" max="4608" width="5.42578125" style="3" customWidth="1"/>
    <col min="4609" max="4609" width="18" style="3" customWidth="1"/>
    <col min="4610" max="4610" width="11.85546875" style="3" customWidth="1"/>
    <col min="4611" max="4627" width="9.140625" style="3" customWidth="1"/>
    <col min="4628" max="4863" width="9" style="3"/>
    <col min="4864" max="4864" width="5.42578125" style="3" customWidth="1"/>
    <col min="4865" max="4865" width="18" style="3" customWidth="1"/>
    <col min="4866" max="4866" width="11.85546875" style="3" customWidth="1"/>
    <col min="4867" max="4883" width="9.140625" style="3" customWidth="1"/>
    <col min="4884" max="5119" width="9" style="3"/>
    <col min="5120" max="5120" width="5.42578125" style="3" customWidth="1"/>
    <col min="5121" max="5121" width="18" style="3" customWidth="1"/>
    <col min="5122" max="5122" width="11.85546875" style="3" customWidth="1"/>
    <col min="5123" max="5139" width="9.140625" style="3" customWidth="1"/>
    <col min="5140" max="5375" width="9" style="3"/>
    <col min="5376" max="5376" width="5.42578125" style="3" customWidth="1"/>
    <col min="5377" max="5377" width="18" style="3" customWidth="1"/>
    <col min="5378" max="5378" width="11.85546875" style="3" customWidth="1"/>
    <col min="5379" max="5395" width="9.140625" style="3" customWidth="1"/>
    <col min="5396" max="5631" width="9" style="3"/>
    <col min="5632" max="5632" width="5.42578125" style="3" customWidth="1"/>
    <col min="5633" max="5633" width="18" style="3" customWidth="1"/>
    <col min="5634" max="5634" width="11.85546875" style="3" customWidth="1"/>
    <col min="5635" max="5651" width="9.140625" style="3" customWidth="1"/>
    <col min="5652" max="5887" width="9" style="3"/>
    <col min="5888" max="5888" width="5.42578125" style="3" customWidth="1"/>
    <col min="5889" max="5889" width="18" style="3" customWidth="1"/>
    <col min="5890" max="5890" width="11.85546875" style="3" customWidth="1"/>
    <col min="5891" max="5907" width="9.140625" style="3" customWidth="1"/>
    <col min="5908" max="6143" width="9" style="3"/>
    <col min="6144" max="6144" width="5.42578125" style="3" customWidth="1"/>
    <col min="6145" max="6145" width="18" style="3" customWidth="1"/>
    <col min="6146" max="6146" width="11.85546875" style="3" customWidth="1"/>
    <col min="6147" max="6163" width="9.140625" style="3" customWidth="1"/>
    <col min="6164" max="6399" width="9" style="3"/>
    <col min="6400" max="6400" width="5.42578125" style="3" customWidth="1"/>
    <col min="6401" max="6401" width="18" style="3" customWidth="1"/>
    <col min="6402" max="6402" width="11.85546875" style="3" customWidth="1"/>
    <col min="6403" max="6419" width="9.140625" style="3" customWidth="1"/>
    <col min="6420" max="6655" width="9" style="3"/>
    <col min="6656" max="6656" width="5.42578125" style="3" customWidth="1"/>
    <col min="6657" max="6657" width="18" style="3" customWidth="1"/>
    <col min="6658" max="6658" width="11.85546875" style="3" customWidth="1"/>
    <col min="6659" max="6675" width="9.140625" style="3" customWidth="1"/>
    <col min="6676" max="6911" width="9" style="3"/>
    <col min="6912" max="6912" width="5.42578125" style="3" customWidth="1"/>
    <col min="6913" max="6913" width="18" style="3" customWidth="1"/>
    <col min="6914" max="6914" width="11.85546875" style="3" customWidth="1"/>
    <col min="6915" max="6931" width="9.140625" style="3" customWidth="1"/>
    <col min="6932" max="7167" width="9" style="3"/>
    <col min="7168" max="7168" width="5.42578125" style="3" customWidth="1"/>
    <col min="7169" max="7169" width="18" style="3" customWidth="1"/>
    <col min="7170" max="7170" width="11.85546875" style="3" customWidth="1"/>
    <col min="7171" max="7187" width="9.140625" style="3" customWidth="1"/>
    <col min="7188" max="7423" width="9" style="3"/>
    <col min="7424" max="7424" width="5.42578125" style="3" customWidth="1"/>
    <col min="7425" max="7425" width="18" style="3" customWidth="1"/>
    <col min="7426" max="7426" width="11.85546875" style="3" customWidth="1"/>
    <col min="7427" max="7443" width="9.140625" style="3" customWidth="1"/>
    <col min="7444" max="7679" width="9" style="3"/>
    <col min="7680" max="7680" width="5.42578125" style="3" customWidth="1"/>
    <col min="7681" max="7681" width="18" style="3" customWidth="1"/>
    <col min="7682" max="7682" width="11.85546875" style="3" customWidth="1"/>
    <col min="7683" max="7699" width="9.140625" style="3" customWidth="1"/>
    <col min="7700" max="7935" width="9" style="3"/>
    <col min="7936" max="7936" width="5.42578125" style="3" customWidth="1"/>
    <col min="7937" max="7937" width="18" style="3" customWidth="1"/>
    <col min="7938" max="7938" width="11.85546875" style="3" customWidth="1"/>
    <col min="7939" max="7955" width="9.140625" style="3" customWidth="1"/>
    <col min="7956" max="8191" width="9" style="3"/>
    <col min="8192" max="8192" width="5.42578125" style="3" customWidth="1"/>
    <col min="8193" max="8193" width="18" style="3" customWidth="1"/>
    <col min="8194" max="8194" width="11.85546875" style="3" customWidth="1"/>
    <col min="8195" max="8211" width="9.140625" style="3" customWidth="1"/>
    <col min="8212" max="8447" width="9" style="3"/>
    <col min="8448" max="8448" width="5.42578125" style="3" customWidth="1"/>
    <col min="8449" max="8449" width="18" style="3" customWidth="1"/>
    <col min="8450" max="8450" width="11.85546875" style="3" customWidth="1"/>
    <col min="8451" max="8467" width="9.140625" style="3" customWidth="1"/>
    <col min="8468" max="8703" width="9" style="3"/>
    <col min="8704" max="8704" width="5.42578125" style="3" customWidth="1"/>
    <col min="8705" max="8705" width="18" style="3" customWidth="1"/>
    <col min="8706" max="8706" width="11.85546875" style="3" customWidth="1"/>
    <col min="8707" max="8723" width="9.140625" style="3" customWidth="1"/>
    <col min="8724" max="8959" width="9" style="3"/>
    <col min="8960" max="8960" width="5.42578125" style="3" customWidth="1"/>
    <col min="8961" max="8961" width="18" style="3" customWidth="1"/>
    <col min="8962" max="8962" width="11.85546875" style="3" customWidth="1"/>
    <col min="8963" max="8979" width="9.140625" style="3" customWidth="1"/>
    <col min="8980" max="9215" width="9" style="3"/>
    <col min="9216" max="9216" width="5.42578125" style="3" customWidth="1"/>
    <col min="9217" max="9217" width="18" style="3" customWidth="1"/>
    <col min="9218" max="9218" width="11.85546875" style="3" customWidth="1"/>
    <col min="9219" max="9235" width="9.140625" style="3" customWidth="1"/>
    <col min="9236" max="9471" width="9" style="3"/>
    <col min="9472" max="9472" width="5.42578125" style="3" customWidth="1"/>
    <col min="9473" max="9473" width="18" style="3" customWidth="1"/>
    <col min="9474" max="9474" width="11.85546875" style="3" customWidth="1"/>
    <col min="9475" max="9491" width="9.140625" style="3" customWidth="1"/>
    <col min="9492" max="9727" width="9" style="3"/>
    <col min="9728" max="9728" width="5.42578125" style="3" customWidth="1"/>
    <col min="9729" max="9729" width="18" style="3" customWidth="1"/>
    <col min="9730" max="9730" width="11.85546875" style="3" customWidth="1"/>
    <col min="9731" max="9747" width="9.140625" style="3" customWidth="1"/>
    <col min="9748" max="9983" width="9" style="3"/>
    <col min="9984" max="9984" width="5.42578125" style="3" customWidth="1"/>
    <col min="9985" max="9985" width="18" style="3" customWidth="1"/>
    <col min="9986" max="9986" width="11.85546875" style="3" customWidth="1"/>
    <col min="9987" max="10003" width="9.140625" style="3" customWidth="1"/>
    <col min="10004" max="10239" width="9" style="3"/>
    <col min="10240" max="10240" width="5.42578125" style="3" customWidth="1"/>
    <col min="10241" max="10241" width="18" style="3" customWidth="1"/>
    <col min="10242" max="10242" width="11.85546875" style="3" customWidth="1"/>
    <col min="10243" max="10259" width="9.140625" style="3" customWidth="1"/>
    <col min="10260" max="10495" width="9" style="3"/>
    <col min="10496" max="10496" width="5.42578125" style="3" customWidth="1"/>
    <col min="10497" max="10497" width="18" style="3" customWidth="1"/>
    <col min="10498" max="10498" width="11.85546875" style="3" customWidth="1"/>
    <col min="10499" max="10515" width="9.140625" style="3" customWidth="1"/>
    <col min="10516" max="10751" width="9" style="3"/>
    <col min="10752" max="10752" width="5.42578125" style="3" customWidth="1"/>
    <col min="10753" max="10753" width="18" style="3" customWidth="1"/>
    <col min="10754" max="10754" width="11.85546875" style="3" customWidth="1"/>
    <col min="10755" max="10771" width="9.140625" style="3" customWidth="1"/>
    <col min="10772" max="11007" width="9" style="3"/>
    <col min="11008" max="11008" width="5.42578125" style="3" customWidth="1"/>
    <col min="11009" max="11009" width="18" style="3" customWidth="1"/>
    <col min="11010" max="11010" width="11.85546875" style="3" customWidth="1"/>
    <col min="11011" max="11027" width="9.140625" style="3" customWidth="1"/>
    <col min="11028" max="11263" width="9" style="3"/>
    <col min="11264" max="11264" width="5.42578125" style="3" customWidth="1"/>
    <col min="11265" max="11265" width="18" style="3" customWidth="1"/>
    <col min="11266" max="11266" width="11.85546875" style="3" customWidth="1"/>
    <col min="11267" max="11283" width="9.140625" style="3" customWidth="1"/>
    <col min="11284" max="11519" width="9" style="3"/>
    <col min="11520" max="11520" width="5.42578125" style="3" customWidth="1"/>
    <col min="11521" max="11521" width="18" style="3" customWidth="1"/>
    <col min="11522" max="11522" width="11.85546875" style="3" customWidth="1"/>
    <col min="11523" max="11539" width="9.140625" style="3" customWidth="1"/>
    <col min="11540" max="11775" width="9" style="3"/>
    <col min="11776" max="11776" width="5.42578125" style="3" customWidth="1"/>
    <col min="11777" max="11777" width="18" style="3" customWidth="1"/>
    <col min="11778" max="11778" width="11.85546875" style="3" customWidth="1"/>
    <col min="11779" max="11795" width="9.140625" style="3" customWidth="1"/>
    <col min="11796" max="12031" width="9" style="3"/>
    <col min="12032" max="12032" width="5.42578125" style="3" customWidth="1"/>
    <col min="12033" max="12033" width="18" style="3" customWidth="1"/>
    <col min="12034" max="12034" width="11.85546875" style="3" customWidth="1"/>
    <col min="12035" max="12051" width="9.140625" style="3" customWidth="1"/>
    <col min="12052" max="12287" width="9" style="3"/>
    <col min="12288" max="12288" width="5.42578125" style="3" customWidth="1"/>
    <col min="12289" max="12289" width="18" style="3" customWidth="1"/>
    <col min="12290" max="12290" width="11.85546875" style="3" customWidth="1"/>
    <col min="12291" max="12307" width="9.140625" style="3" customWidth="1"/>
    <col min="12308" max="12543" width="9" style="3"/>
    <col min="12544" max="12544" width="5.42578125" style="3" customWidth="1"/>
    <col min="12545" max="12545" width="18" style="3" customWidth="1"/>
    <col min="12546" max="12546" width="11.85546875" style="3" customWidth="1"/>
    <col min="12547" max="12563" width="9.140625" style="3" customWidth="1"/>
    <col min="12564" max="12799" width="9" style="3"/>
    <col min="12800" max="12800" width="5.42578125" style="3" customWidth="1"/>
    <col min="12801" max="12801" width="18" style="3" customWidth="1"/>
    <col min="12802" max="12802" width="11.85546875" style="3" customWidth="1"/>
    <col min="12803" max="12819" width="9.140625" style="3" customWidth="1"/>
    <col min="12820" max="13055" width="9" style="3"/>
    <col min="13056" max="13056" width="5.42578125" style="3" customWidth="1"/>
    <col min="13057" max="13057" width="18" style="3" customWidth="1"/>
    <col min="13058" max="13058" width="11.85546875" style="3" customWidth="1"/>
    <col min="13059" max="13075" width="9.140625" style="3" customWidth="1"/>
    <col min="13076" max="13311" width="9" style="3"/>
    <col min="13312" max="13312" width="5.42578125" style="3" customWidth="1"/>
    <col min="13313" max="13313" width="18" style="3" customWidth="1"/>
    <col min="13314" max="13314" width="11.85546875" style="3" customWidth="1"/>
    <col min="13315" max="13331" width="9.140625" style="3" customWidth="1"/>
    <col min="13332" max="13567" width="9" style="3"/>
    <col min="13568" max="13568" width="5.42578125" style="3" customWidth="1"/>
    <col min="13569" max="13569" width="18" style="3" customWidth="1"/>
    <col min="13570" max="13570" width="11.85546875" style="3" customWidth="1"/>
    <col min="13571" max="13587" width="9.140625" style="3" customWidth="1"/>
    <col min="13588" max="13823" width="9" style="3"/>
    <col min="13824" max="13824" width="5.42578125" style="3" customWidth="1"/>
    <col min="13825" max="13825" width="18" style="3" customWidth="1"/>
    <col min="13826" max="13826" width="11.85546875" style="3" customWidth="1"/>
    <col min="13827" max="13843" width="9.140625" style="3" customWidth="1"/>
    <col min="13844" max="14079" width="9" style="3"/>
    <col min="14080" max="14080" width="5.42578125" style="3" customWidth="1"/>
    <col min="14081" max="14081" width="18" style="3" customWidth="1"/>
    <col min="14082" max="14082" width="11.85546875" style="3" customWidth="1"/>
    <col min="14083" max="14099" width="9.140625" style="3" customWidth="1"/>
    <col min="14100" max="14335" width="9" style="3"/>
    <col min="14336" max="14336" width="5.42578125" style="3" customWidth="1"/>
    <col min="14337" max="14337" width="18" style="3" customWidth="1"/>
    <col min="14338" max="14338" width="11.85546875" style="3" customWidth="1"/>
    <col min="14339" max="14355" width="9.140625" style="3" customWidth="1"/>
    <col min="14356" max="14591" width="9" style="3"/>
    <col min="14592" max="14592" width="5.42578125" style="3" customWidth="1"/>
    <col min="14593" max="14593" width="18" style="3" customWidth="1"/>
    <col min="14594" max="14594" width="11.85546875" style="3" customWidth="1"/>
    <col min="14595" max="14611" width="9.140625" style="3" customWidth="1"/>
    <col min="14612" max="14847" width="9" style="3"/>
    <col min="14848" max="14848" width="5.42578125" style="3" customWidth="1"/>
    <col min="14849" max="14849" width="18" style="3" customWidth="1"/>
    <col min="14850" max="14850" width="11.85546875" style="3" customWidth="1"/>
    <col min="14851" max="14867" width="9.140625" style="3" customWidth="1"/>
    <col min="14868" max="15103" width="9" style="3"/>
    <col min="15104" max="15104" width="5.42578125" style="3" customWidth="1"/>
    <col min="15105" max="15105" width="18" style="3" customWidth="1"/>
    <col min="15106" max="15106" width="11.85546875" style="3" customWidth="1"/>
    <col min="15107" max="15123" width="9.140625" style="3" customWidth="1"/>
    <col min="15124" max="15359" width="9" style="3"/>
    <col min="15360" max="15360" width="5.42578125" style="3" customWidth="1"/>
    <col min="15361" max="15361" width="18" style="3" customWidth="1"/>
    <col min="15362" max="15362" width="11.85546875" style="3" customWidth="1"/>
    <col min="15363" max="15379" width="9.140625" style="3" customWidth="1"/>
    <col min="15380" max="15615" width="9" style="3"/>
    <col min="15616" max="15616" width="5.42578125" style="3" customWidth="1"/>
    <col min="15617" max="15617" width="18" style="3" customWidth="1"/>
    <col min="15618" max="15618" width="11.85546875" style="3" customWidth="1"/>
    <col min="15619" max="15635" width="9.140625" style="3" customWidth="1"/>
    <col min="15636" max="15871" width="9" style="3"/>
    <col min="15872" max="15872" width="5.42578125" style="3" customWidth="1"/>
    <col min="15873" max="15873" width="18" style="3" customWidth="1"/>
    <col min="15874" max="15874" width="11.85546875" style="3" customWidth="1"/>
    <col min="15875" max="15891" width="9.140625" style="3" customWidth="1"/>
    <col min="15892" max="16127" width="9" style="3"/>
    <col min="16128" max="16128" width="5.42578125" style="3" customWidth="1"/>
    <col min="16129" max="16129" width="18" style="3" customWidth="1"/>
    <col min="16130" max="16130" width="11.85546875" style="3" customWidth="1"/>
    <col min="16131" max="16147" width="9.140625" style="3" customWidth="1"/>
    <col min="16148" max="16384" width="9" style="3"/>
  </cols>
  <sheetData>
    <row r="1" spans="1:21" ht="34.5" thickBot="1" x14ac:dyDescent="0.3">
      <c r="A1" s="176" t="s">
        <v>69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8"/>
      <c r="T1" s="1"/>
      <c r="U1" s="1"/>
    </row>
    <row r="2" spans="1:21" ht="171.75" customHeight="1" thickBot="1" x14ac:dyDescent="0.3">
      <c r="A2" s="82" t="s">
        <v>0</v>
      </c>
      <c r="B2" s="5" t="s">
        <v>1</v>
      </c>
      <c r="C2" s="6" t="s">
        <v>2</v>
      </c>
      <c r="D2" s="7" t="s">
        <v>70</v>
      </c>
      <c r="E2" s="8" t="s">
        <v>71</v>
      </c>
      <c r="F2" s="7" t="s">
        <v>79</v>
      </c>
      <c r="G2" s="7" t="s">
        <v>80</v>
      </c>
      <c r="H2" s="7" t="s">
        <v>95</v>
      </c>
      <c r="I2" s="7" t="s">
        <v>94</v>
      </c>
      <c r="J2" s="8" t="s">
        <v>113</v>
      </c>
      <c r="K2" s="8" t="s">
        <v>114</v>
      </c>
      <c r="L2" s="8" t="s">
        <v>144</v>
      </c>
      <c r="M2" s="8" t="s">
        <v>145</v>
      </c>
      <c r="N2" s="8" t="s">
        <v>146</v>
      </c>
      <c r="O2" s="8" t="s">
        <v>148</v>
      </c>
      <c r="P2" s="8" t="s">
        <v>149</v>
      </c>
      <c r="Q2" s="7" t="s">
        <v>170</v>
      </c>
      <c r="R2" s="8" t="s">
        <v>171</v>
      </c>
      <c r="S2" s="9" t="s">
        <v>3</v>
      </c>
      <c r="T2" s="10"/>
      <c r="U2" s="10"/>
    </row>
    <row r="3" spans="1:21" x14ac:dyDescent="0.25">
      <c r="A3" s="80" t="s">
        <v>4</v>
      </c>
      <c r="B3" s="14" t="s">
        <v>60</v>
      </c>
      <c r="C3" s="15" t="s">
        <v>61</v>
      </c>
      <c r="D3" s="86">
        <f>100-(89.13-89.13)/89.13*50</f>
        <v>100</v>
      </c>
      <c r="E3" s="17">
        <f>100-(61.83-61.83)/61.83*50</f>
        <v>100</v>
      </c>
      <c r="F3" s="17">
        <f>100-(27.97-27.97)/27.97*50</f>
        <v>100</v>
      </c>
      <c r="G3" s="17">
        <f>100-(90.92-90.92)/90.92*50</f>
        <v>100</v>
      </c>
      <c r="H3" s="136">
        <f>100-(35.42-32.95)/32.95*50</f>
        <v>96.251896813353568</v>
      </c>
      <c r="I3" s="17">
        <f>100-(66.3-66.3)/66.3*50</f>
        <v>100</v>
      </c>
      <c r="J3" s="17"/>
      <c r="K3" s="17"/>
      <c r="L3" s="17">
        <f>100-(60.1-60.1)/60.1*50</f>
        <v>100</v>
      </c>
      <c r="M3" s="136">
        <f>100-(29.88-27.27)/27.27*50</f>
        <v>95.21452145214522</v>
      </c>
      <c r="N3" s="17">
        <f>100-(87.58-87.58)/87.58*50</f>
        <v>100</v>
      </c>
      <c r="O3" s="136">
        <f>100-(43.37-43.37)/43.37*50</f>
        <v>100</v>
      </c>
      <c r="P3" s="136">
        <f>100-(108.3-99.97)/99.97*50</f>
        <v>95.833750125037511</v>
      </c>
      <c r="Q3" s="136">
        <f>100-(47.22-47.22)/47.22*50</f>
        <v>100</v>
      </c>
      <c r="R3" s="172">
        <f>100-(48.53-48.53)/48.53*50</f>
        <v>100</v>
      </c>
      <c r="S3" s="20">
        <f>SUM(D3:R3)-M3-H3-O3-P3-Q3-R3</f>
        <v>700</v>
      </c>
    </row>
    <row r="4" spans="1:21" x14ac:dyDescent="0.25">
      <c r="A4" s="83" t="s">
        <v>6</v>
      </c>
      <c r="B4" s="23" t="s">
        <v>64</v>
      </c>
      <c r="C4" s="24" t="s">
        <v>39</v>
      </c>
      <c r="D4" s="125"/>
      <c r="E4" s="130">
        <f>100-(70.37-61.83)/61.83*50</f>
        <v>93.093967329775182</v>
      </c>
      <c r="F4" s="25">
        <f>100-(31.2-27.97)/27.97*50</f>
        <v>94.225956381837676</v>
      </c>
      <c r="G4" s="130">
        <f>100-(108.02-90.92)/90.92*50</f>
        <v>90.596128464584254</v>
      </c>
      <c r="H4" s="25">
        <f>100-(32.95-32.95)/32.95*50</f>
        <v>100</v>
      </c>
      <c r="I4" s="76">
        <f>100-(71.98-66.3)/66.3*50</f>
        <v>95.716440422322776</v>
      </c>
      <c r="J4" s="25">
        <f>100-(38.57-38.57)/38.57*50</f>
        <v>100</v>
      </c>
      <c r="K4" s="25">
        <f>100-(55.27-55.27)/55.27*50</f>
        <v>100</v>
      </c>
      <c r="L4" s="25"/>
      <c r="M4" s="25"/>
      <c r="N4" s="59"/>
      <c r="O4" s="130">
        <f>100-(51.45-43.37)/43.37*50</f>
        <v>90.684805164860492</v>
      </c>
      <c r="P4" s="25">
        <f>100-(99.97-99.97)/99.97*50</f>
        <v>100</v>
      </c>
      <c r="Q4" s="25">
        <f>100-(50.52-47.22)/47.22*50</f>
        <v>96.505717916137229</v>
      </c>
      <c r="R4" s="173">
        <f>100-(56.27-48.53)/48.53*50</f>
        <v>92.025551205439939</v>
      </c>
      <c r="S4" s="26">
        <f>SUM(D4:R4)-G4-O4-E4-R4</f>
        <v>686.44811472029778</v>
      </c>
    </row>
    <row r="5" spans="1:21" x14ac:dyDescent="0.25">
      <c r="A5" s="83" t="s">
        <v>8</v>
      </c>
      <c r="B5" s="23" t="s">
        <v>62</v>
      </c>
      <c r="C5" s="24" t="s">
        <v>39</v>
      </c>
      <c r="D5" s="31">
        <f>100-(97.38-89.13)/89.13*50</f>
        <v>95.371928643554355</v>
      </c>
      <c r="E5" s="130">
        <f>100-(70.33-61.83)/61.83*50</f>
        <v>93.126314087012773</v>
      </c>
      <c r="F5" s="25">
        <f>100-(30.35-27.97)/27.97*50</f>
        <v>95.745441544511976</v>
      </c>
      <c r="G5" s="94" t="s">
        <v>12</v>
      </c>
      <c r="H5" s="106" t="s">
        <v>12</v>
      </c>
      <c r="I5" s="106" t="s">
        <v>12</v>
      </c>
      <c r="J5" s="18"/>
      <c r="K5" s="25">
        <f>100-(57.73-55.27)/55.27*50</f>
        <v>97.774561244798264</v>
      </c>
      <c r="L5" s="130">
        <f>100-(67.52-60.1)/60.1*50</f>
        <v>93.826955074875215</v>
      </c>
      <c r="M5" s="25">
        <f>100-(27.27-27.27)/27.27*50</f>
        <v>100</v>
      </c>
      <c r="N5" s="25">
        <f>100-(97.38-87.58)/87.58*50</f>
        <v>94.405115323133131</v>
      </c>
      <c r="O5" s="130">
        <f>100-(51.83-43.37)/43.37*50</f>
        <v>90.246714318653446</v>
      </c>
      <c r="P5" s="25">
        <f>100-(110.8-99.97)/99.97*50</f>
        <v>94.583375012503751</v>
      </c>
      <c r="Q5" s="25">
        <f>100-(51.6-47.22)/47.22*50</f>
        <v>95.362134688691228</v>
      </c>
      <c r="R5" s="173">
        <f>100-(54.33-48.53)/48.53*50</f>
        <v>94.024314856789616</v>
      </c>
      <c r="S5" s="26">
        <f>SUM(D5:R5)-E5-O5-R5-L5</f>
        <v>673.2425564571929</v>
      </c>
    </row>
    <row r="6" spans="1:21" x14ac:dyDescent="0.25">
      <c r="A6" s="83" t="s">
        <v>11</v>
      </c>
      <c r="B6" s="23" t="s">
        <v>63</v>
      </c>
      <c r="C6" s="24" t="s">
        <v>22</v>
      </c>
      <c r="D6" s="125"/>
      <c r="E6" s="94" t="s">
        <v>12</v>
      </c>
      <c r="F6" s="25">
        <f>100-(45.07-27.97)/27.97*50</f>
        <v>69.431533786199495</v>
      </c>
      <c r="G6" s="18">
        <f>100-(133.17-90.92)/90.92*50</f>
        <v>76.765288165420159</v>
      </c>
      <c r="H6" s="18">
        <f>100-(53.48-32.95)/32.95*50</f>
        <v>68.84673748103188</v>
      </c>
      <c r="I6" s="18">
        <f>100-(84.32-66.3)/66.3*50</f>
        <v>86.410256410256409</v>
      </c>
      <c r="J6" s="103" t="s">
        <v>12</v>
      </c>
      <c r="K6" s="25">
        <f>100-(91.17-55.27)/55.27*50</f>
        <v>67.523068572462449</v>
      </c>
      <c r="L6" s="25"/>
      <c r="M6" s="25"/>
      <c r="N6" s="18"/>
      <c r="O6" s="25"/>
      <c r="P6" s="25"/>
      <c r="Q6" s="25"/>
      <c r="R6" s="155"/>
      <c r="S6" s="26">
        <f t="shared" ref="S6:S14" si="0">SUM(D6:R6)</f>
        <v>368.97688441537036</v>
      </c>
    </row>
    <row r="7" spans="1:21" x14ac:dyDescent="0.25">
      <c r="A7" s="83" t="s">
        <v>13</v>
      </c>
      <c r="B7" s="23" t="s">
        <v>112</v>
      </c>
      <c r="C7" s="24"/>
      <c r="D7" s="116"/>
      <c r="E7" s="21"/>
      <c r="F7" s="21"/>
      <c r="G7" s="21"/>
      <c r="H7" s="21"/>
      <c r="I7" s="18">
        <f>100-(83.98-66.3)/66.3*50</f>
        <v>86.666666666666657</v>
      </c>
      <c r="J7" s="18">
        <f>100-(44.65-38.57)/38.57*50</f>
        <v>92.118226600985224</v>
      </c>
      <c r="K7" s="18">
        <f>100-(78.23-55.27)/55.27*50</f>
        <v>79.22923828478379</v>
      </c>
      <c r="L7" s="57"/>
      <c r="M7" s="21"/>
      <c r="N7" s="18"/>
      <c r="O7" s="18"/>
      <c r="P7" s="18"/>
      <c r="Q7" s="18"/>
      <c r="R7" s="24"/>
      <c r="S7" s="26">
        <f t="shared" si="0"/>
        <v>258.01413155243569</v>
      </c>
    </row>
    <row r="8" spans="1:21" x14ac:dyDescent="0.25">
      <c r="A8" s="83" t="s">
        <v>15</v>
      </c>
      <c r="B8" s="23" t="s">
        <v>86</v>
      </c>
      <c r="C8" s="24" t="s">
        <v>84</v>
      </c>
      <c r="D8" s="23"/>
      <c r="E8" s="25"/>
      <c r="F8" s="57"/>
      <c r="G8" s="18">
        <f>100-(108.67-90.92)/90.92*50</f>
        <v>90.238671359436864</v>
      </c>
      <c r="H8" s="18">
        <f>100-(43.82-32.95)/32.95*50</f>
        <v>83.50531107738999</v>
      </c>
      <c r="I8" s="18">
        <f>100-(90.12-66.3)/66.3*50</f>
        <v>82.036199095022624</v>
      </c>
      <c r="J8" s="57"/>
      <c r="K8" s="21"/>
      <c r="L8" s="21"/>
      <c r="M8" s="25"/>
      <c r="N8" s="21"/>
      <c r="O8" s="21"/>
      <c r="P8" s="21"/>
      <c r="Q8" s="21"/>
      <c r="R8" s="155"/>
      <c r="S8" s="26">
        <f t="shared" si="0"/>
        <v>255.78018153184948</v>
      </c>
    </row>
    <row r="9" spans="1:21" x14ac:dyDescent="0.25">
      <c r="A9" s="83" t="s">
        <v>18</v>
      </c>
      <c r="B9" s="96" t="s">
        <v>90</v>
      </c>
      <c r="C9" s="97" t="s">
        <v>84</v>
      </c>
      <c r="D9" s="96"/>
      <c r="E9" s="99"/>
      <c r="F9" s="99"/>
      <c r="G9" s="18">
        <f>100-(127.03-90.92)/90.92*50</f>
        <v>80.141882974043114</v>
      </c>
      <c r="H9" s="18">
        <f>100-(55.43-32.95)/32.95*50</f>
        <v>65.887708649468891</v>
      </c>
      <c r="I9" s="18">
        <f>100-(98.77-66.3)/66.3*50</f>
        <v>75.512820512820511</v>
      </c>
      <c r="J9" s="21"/>
      <c r="K9" s="21"/>
      <c r="L9" s="21"/>
      <c r="M9" s="18"/>
      <c r="N9" s="21"/>
      <c r="O9" s="18"/>
      <c r="P9" s="18"/>
      <c r="Q9" s="18"/>
      <c r="R9" s="155"/>
      <c r="S9" s="26">
        <f t="shared" si="0"/>
        <v>221.54241213633253</v>
      </c>
    </row>
    <row r="10" spans="1:21" x14ac:dyDescent="0.25">
      <c r="A10" s="83" t="s">
        <v>20</v>
      </c>
      <c r="B10" s="23" t="s">
        <v>72</v>
      </c>
      <c r="C10" s="24" t="s">
        <v>14</v>
      </c>
      <c r="D10" s="31">
        <f>100-(95.28-89.13)/89.13*50</f>
        <v>96.549983170649611</v>
      </c>
      <c r="E10" s="21"/>
      <c r="F10" s="21"/>
      <c r="G10" s="21"/>
      <c r="H10" s="18">
        <f>100-(38.87-32.95)/32.95*50</f>
        <v>91.016691957511384</v>
      </c>
      <c r="I10" s="18"/>
      <c r="J10" s="21"/>
      <c r="K10" s="18"/>
      <c r="L10" s="18"/>
      <c r="M10" s="21"/>
      <c r="N10" s="21"/>
      <c r="O10" s="21"/>
      <c r="P10" s="57"/>
      <c r="Q10" s="57"/>
      <c r="R10" s="32"/>
      <c r="S10" s="26">
        <f t="shared" si="0"/>
        <v>187.56667512816099</v>
      </c>
    </row>
    <row r="11" spans="1:21" x14ac:dyDescent="0.25">
      <c r="A11" s="83" t="s">
        <v>23</v>
      </c>
      <c r="B11" s="23" t="s">
        <v>177</v>
      </c>
      <c r="C11" s="24" t="s">
        <v>7</v>
      </c>
      <c r="D11" s="23"/>
      <c r="E11" s="21"/>
      <c r="F11" s="21"/>
      <c r="G11" s="21"/>
      <c r="H11" s="21"/>
      <c r="I11" s="21"/>
      <c r="J11" s="57"/>
      <c r="K11" s="57"/>
      <c r="L11" s="21"/>
      <c r="M11" s="18"/>
      <c r="N11" s="25"/>
      <c r="O11" s="25"/>
      <c r="P11" s="18"/>
      <c r="Q11" s="25">
        <f>100-(62.48-47.22)/47.22*50</f>
        <v>83.841592545531554</v>
      </c>
      <c r="R11" s="155">
        <f>100-(70.67-48.53)/48.53*50</f>
        <v>77.189367401607257</v>
      </c>
      <c r="S11" s="26">
        <f t="shared" si="0"/>
        <v>161.0309599471388</v>
      </c>
    </row>
    <row r="12" spans="1:21" x14ac:dyDescent="0.25">
      <c r="A12" s="83" t="s">
        <v>26</v>
      </c>
      <c r="B12" s="23" t="s">
        <v>85</v>
      </c>
      <c r="C12" s="24" t="s">
        <v>84</v>
      </c>
      <c r="D12" s="116"/>
      <c r="E12" s="21"/>
      <c r="F12" s="21"/>
      <c r="G12" s="18">
        <f>100-(93.43-90.92)/90.92*50</f>
        <v>98.619665640123188</v>
      </c>
      <c r="H12" s="18"/>
      <c r="I12" s="37"/>
      <c r="J12" s="21"/>
      <c r="K12" s="38"/>
      <c r="L12" s="18"/>
      <c r="M12" s="38"/>
      <c r="N12" s="174"/>
      <c r="O12" s="21"/>
      <c r="P12" s="21"/>
      <c r="Q12" s="21"/>
      <c r="R12" s="158"/>
      <c r="S12" s="26">
        <f t="shared" si="0"/>
        <v>98.619665640123188</v>
      </c>
    </row>
    <row r="13" spans="1:21" x14ac:dyDescent="0.25">
      <c r="A13" s="83" t="s">
        <v>27</v>
      </c>
      <c r="B13" s="23" t="s">
        <v>58</v>
      </c>
      <c r="C13" s="24" t="s">
        <v>22</v>
      </c>
      <c r="D13" s="125"/>
      <c r="E13" s="18">
        <f>100-(92.38-61.83)/61.83*50</f>
        <v>75.295164159792989</v>
      </c>
      <c r="F13" s="57"/>
      <c r="G13" s="25"/>
      <c r="H13" s="18"/>
      <c r="I13" s="18"/>
      <c r="J13" s="18"/>
      <c r="K13" s="18"/>
      <c r="L13" s="21"/>
      <c r="M13" s="21"/>
      <c r="N13" s="18"/>
      <c r="O13" s="18"/>
      <c r="P13" s="18"/>
      <c r="Q13" s="18"/>
      <c r="R13" s="24"/>
      <c r="S13" s="26">
        <f t="shared" si="0"/>
        <v>75.295164159792989</v>
      </c>
    </row>
    <row r="14" spans="1:21" ht="15.75" thickBot="1" x14ac:dyDescent="0.3">
      <c r="A14" s="84" t="s">
        <v>29</v>
      </c>
      <c r="B14" s="40" t="s">
        <v>109</v>
      </c>
      <c r="C14" s="41" t="s">
        <v>42</v>
      </c>
      <c r="D14" s="143"/>
      <c r="E14" s="61"/>
      <c r="F14" s="61"/>
      <c r="G14" s="61"/>
      <c r="H14" s="46">
        <f>100-(65.88-32.95)/32.95*50</f>
        <v>50.030349013657073</v>
      </c>
      <c r="I14" s="104"/>
      <c r="J14" s="43"/>
      <c r="K14" s="43"/>
      <c r="L14" s="43"/>
      <c r="M14" s="43"/>
      <c r="N14" s="61"/>
      <c r="O14" s="61"/>
      <c r="P14" s="61"/>
      <c r="Q14" s="104"/>
      <c r="R14" s="159"/>
      <c r="S14" s="47">
        <f t="shared" si="0"/>
        <v>50.030349013657073</v>
      </c>
    </row>
    <row r="15" spans="1:2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48"/>
      <c r="O15" s="48"/>
      <c r="P15" s="48"/>
      <c r="Q15" s="48"/>
      <c r="R15" s="50"/>
      <c r="S15" s="51"/>
    </row>
    <row r="16" spans="1:2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48"/>
      <c r="O16" s="48"/>
      <c r="P16" s="48"/>
      <c r="Q16" s="48"/>
      <c r="R16" s="2"/>
      <c r="S16" s="51"/>
    </row>
    <row r="17" spans="1:19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48"/>
      <c r="O17" s="2"/>
      <c r="P17" s="2"/>
      <c r="Q17" s="2"/>
      <c r="R17" s="2"/>
      <c r="S17" s="2"/>
    </row>
    <row r="18" spans="1:19" s="53" customFormat="1" x14ac:dyDescent="0.25">
      <c r="A18" s="53" t="s">
        <v>36</v>
      </c>
    </row>
    <row r="19" spans="1:19" s="54" customFormat="1" x14ac:dyDescent="0.25">
      <c r="A19" s="54" t="s">
        <v>37</v>
      </c>
    </row>
  </sheetData>
  <sortState ref="B3:S14">
    <sortCondition descending="1" ref="S3"/>
  </sortState>
  <mergeCells count="1">
    <mergeCell ref="A1:S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workbookViewId="0">
      <selection activeCell="M21" sqref="M21"/>
    </sheetView>
  </sheetViews>
  <sheetFormatPr defaultColWidth="9" defaultRowHeight="15" x14ac:dyDescent="0.25"/>
  <cols>
    <col min="1" max="1" width="5.140625" style="3" customWidth="1"/>
    <col min="2" max="2" width="19.85546875" style="3" customWidth="1"/>
    <col min="3" max="3" width="11.85546875" style="3" customWidth="1"/>
    <col min="4" max="5" width="9.140625" style="3" customWidth="1"/>
    <col min="6" max="6" width="9.140625" style="55" customWidth="1"/>
    <col min="7" max="19" width="9.140625" style="3" customWidth="1"/>
    <col min="20" max="29" width="9" style="2"/>
    <col min="30" max="255" width="9" style="3"/>
    <col min="256" max="256" width="5.140625" style="3" customWidth="1"/>
    <col min="257" max="257" width="19.85546875" style="3" customWidth="1"/>
    <col min="258" max="258" width="11.85546875" style="3" customWidth="1"/>
    <col min="259" max="275" width="9.140625" style="3" customWidth="1"/>
    <col min="276" max="511" width="9" style="3"/>
    <col min="512" max="512" width="5.140625" style="3" customWidth="1"/>
    <col min="513" max="513" width="19.85546875" style="3" customWidth="1"/>
    <col min="514" max="514" width="11.85546875" style="3" customWidth="1"/>
    <col min="515" max="531" width="9.140625" style="3" customWidth="1"/>
    <col min="532" max="767" width="9" style="3"/>
    <col min="768" max="768" width="5.140625" style="3" customWidth="1"/>
    <col min="769" max="769" width="19.85546875" style="3" customWidth="1"/>
    <col min="770" max="770" width="11.85546875" style="3" customWidth="1"/>
    <col min="771" max="787" width="9.140625" style="3" customWidth="1"/>
    <col min="788" max="1023" width="9" style="3"/>
    <col min="1024" max="1024" width="5.140625" style="3" customWidth="1"/>
    <col min="1025" max="1025" width="19.85546875" style="3" customWidth="1"/>
    <col min="1026" max="1026" width="11.85546875" style="3" customWidth="1"/>
    <col min="1027" max="1043" width="9.140625" style="3" customWidth="1"/>
    <col min="1044" max="1279" width="9" style="3"/>
    <col min="1280" max="1280" width="5.140625" style="3" customWidth="1"/>
    <col min="1281" max="1281" width="19.85546875" style="3" customWidth="1"/>
    <col min="1282" max="1282" width="11.85546875" style="3" customWidth="1"/>
    <col min="1283" max="1299" width="9.140625" style="3" customWidth="1"/>
    <col min="1300" max="1535" width="9" style="3"/>
    <col min="1536" max="1536" width="5.140625" style="3" customWidth="1"/>
    <col min="1537" max="1537" width="19.85546875" style="3" customWidth="1"/>
    <col min="1538" max="1538" width="11.85546875" style="3" customWidth="1"/>
    <col min="1539" max="1555" width="9.140625" style="3" customWidth="1"/>
    <col min="1556" max="1791" width="9" style="3"/>
    <col min="1792" max="1792" width="5.140625" style="3" customWidth="1"/>
    <col min="1793" max="1793" width="19.85546875" style="3" customWidth="1"/>
    <col min="1794" max="1794" width="11.85546875" style="3" customWidth="1"/>
    <col min="1795" max="1811" width="9.140625" style="3" customWidth="1"/>
    <col min="1812" max="2047" width="9" style="3"/>
    <col min="2048" max="2048" width="5.140625" style="3" customWidth="1"/>
    <col min="2049" max="2049" width="19.85546875" style="3" customWidth="1"/>
    <col min="2050" max="2050" width="11.85546875" style="3" customWidth="1"/>
    <col min="2051" max="2067" width="9.140625" style="3" customWidth="1"/>
    <col min="2068" max="2303" width="9" style="3"/>
    <col min="2304" max="2304" width="5.140625" style="3" customWidth="1"/>
    <col min="2305" max="2305" width="19.85546875" style="3" customWidth="1"/>
    <col min="2306" max="2306" width="11.85546875" style="3" customWidth="1"/>
    <col min="2307" max="2323" width="9.140625" style="3" customWidth="1"/>
    <col min="2324" max="2559" width="9" style="3"/>
    <col min="2560" max="2560" width="5.140625" style="3" customWidth="1"/>
    <col min="2561" max="2561" width="19.85546875" style="3" customWidth="1"/>
    <col min="2562" max="2562" width="11.85546875" style="3" customWidth="1"/>
    <col min="2563" max="2579" width="9.140625" style="3" customWidth="1"/>
    <col min="2580" max="2815" width="9" style="3"/>
    <col min="2816" max="2816" width="5.140625" style="3" customWidth="1"/>
    <col min="2817" max="2817" width="19.85546875" style="3" customWidth="1"/>
    <col min="2818" max="2818" width="11.85546875" style="3" customWidth="1"/>
    <col min="2819" max="2835" width="9.140625" style="3" customWidth="1"/>
    <col min="2836" max="3071" width="9" style="3"/>
    <col min="3072" max="3072" width="5.140625" style="3" customWidth="1"/>
    <col min="3073" max="3073" width="19.85546875" style="3" customWidth="1"/>
    <col min="3074" max="3074" width="11.85546875" style="3" customWidth="1"/>
    <col min="3075" max="3091" width="9.140625" style="3" customWidth="1"/>
    <col min="3092" max="3327" width="9" style="3"/>
    <col min="3328" max="3328" width="5.140625" style="3" customWidth="1"/>
    <col min="3329" max="3329" width="19.85546875" style="3" customWidth="1"/>
    <col min="3330" max="3330" width="11.85546875" style="3" customWidth="1"/>
    <col min="3331" max="3347" width="9.140625" style="3" customWidth="1"/>
    <col min="3348" max="3583" width="9" style="3"/>
    <col min="3584" max="3584" width="5.140625" style="3" customWidth="1"/>
    <col min="3585" max="3585" width="19.85546875" style="3" customWidth="1"/>
    <col min="3586" max="3586" width="11.85546875" style="3" customWidth="1"/>
    <col min="3587" max="3603" width="9.140625" style="3" customWidth="1"/>
    <col min="3604" max="3839" width="9" style="3"/>
    <col min="3840" max="3840" width="5.140625" style="3" customWidth="1"/>
    <col min="3841" max="3841" width="19.85546875" style="3" customWidth="1"/>
    <col min="3842" max="3842" width="11.85546875" style="3" customWidth="1"/>
    <col min="3843" max="3859" width="9.140625" style="3" customWidth="1"/>
    <col min="3860" max="4095" width="9" style="3"/>
    <col min="4096" max="4096" width="5.140625" style="3" customWidth="1"/>
    <col min="4097" max="4097" width="19.85546875" style="3" customWidth="1"/>
    <col min="4098" max="4098" width="11.85546875" style="3" customWidth="1"/>
    <col min="4099" max="4115" width="9.140625" style="3" customWidth="1"/>
    <col min="4116" max="4351" width="9" style="3"/>
    <col min="4352" max="4352" width="5.140625" style="3" customWidth="1"/>
    <col min="4353" max="4353" width="19.85546875" style="3" customWidth="1"/>
    <col min="4354" max="4354" width="11.85546875" style="3" customWidth="1"/>
    <col min="4355" max="4371" width="9.140625" style="3" customWidth="1"/>
    <col min="4372" max="4607" width="9" style="3"/>
    <col min="4608" max="4608" width="5.140625" style="3" customWidth="1"/>
    <col min="4609" max="4609" width="19.85546875" style="3" customWidth="1"/>
    <col min="4610" max="4610" width="11.85546875" style="3" customWidth="1"/>
    <col min="4611" max="4627" width="9.140625" style="3" customWidth="1"/>
    <col min="4628" max="4863" width="9" style="3"/>
    <col min="4864" max="4864" width="5.140625" style="3" customWidth="1"/>
    <col min="4865" max="4865" width="19.85546875" style="3" customWidth="1"/>
    <col min="4866" max="4866" width="11.85546875" style="3" customWidth="1"/>
    <col min="4867" max="4883" width="9.140625" style="3" customWidth="1"/>
    <col min="4884" max="5119" width="9" style="3"/>
    <col min="5120" max="5120" width="5.140625" style="3" customWidth="1"/>
    <col min="5121" max="5121" width="19.85546875" style="3" customWidth="1"/>
    <col min="5122" max="5122" width="11.85546875" style="3" customWidth="1"/>
    <col min="5123" max="5139" width="9.140625" style="3" customWidth="1"/>
    <col min="5140" max="5375" width="9" style="3"/>
    <col min="5376" max="5376" width="5.140625" style="3" customWidth="1"/>
    <col min="5377" max="5377" width="19.85546875" style="3" customWidth="1"/>
    <col min="5378" max="5378" width="11.85546875" style="3" customWidth="1"/>
    <col min="5379" max="5395" width="9.140625" style="3" customWidth="1"/>
    <col min="5396" max="5631" width="9" style="3"/>
    <col min="5632" max="5632" width="5.140625" style="3" customWidth="1"/>
    <col min="5633" max="5633" width="19.85546875" style="3" customWidth="1"/>
    <col min="5634" max="5634" width="11.85546875" style="3" customWidth="1"/>
    <col min="5635" max="5651" width="9.140625" style="3" customWidth="1"/>
    <col min="5652" max="5887" width="9" style="3"/>
    <col min="5888" max="5888" width="5.140625" style="3" customWidth="1"/>
    <col min="5889" max="5889" width="19.85546875" style="3" customWidth="1"/>
    <col min="5890" max="5890" width="11.85546875" style="3" customWidth="1"/>
    <col min="5891" max="5907" width="9.140625" style="3" customWidth="1"/>
    <col min="5908" max="6143" width="9" style="3"/>
    <col min="6144" max="6144" width="5.140625" style="3" customWidth="1"/>
    <col min="6145" max="6145" width="19.85546875" style="3" customWidth="1"/>
    <col min="6146" max="6146" width="11.85546875" style="3" customWidth="1"/>
    <col min="6147" max="6163" width="9.140625" style="3" customWidth="1"/>
    <col min="6164" max="6399" width="9" style="3"/>
    <col min="6400" max="6400" width="5.140625" style="3" customWidth="1"/>
    <col min="6401" max="6401" width="19.85546875" style="3" customWidth="1"/>
    <col min="6402" max="6402" width="11.85546875" style="3" customWidth="1"/>
    <col min="6403" max="6419" width="9.140625" style="3" customWidth="1"/>
    <col min="6420" max="6655" width="9" style="3"/>
    <col min="6656" max="6656" width="5.140625" style="3" customWidth="1"/>
    <col min="6657" max="6657" width="19.85546875" style="3" customWidth="1"/>
    <col min="6658" max="6658" width="11.85546875" style="3" customWidth="1"/>
    <col min="6659" max="6675" width="9.140625" style="3" customWidth="1"/>
    <col min="6676" max="6911" width="9" style="3"/>
    <col min="6912" max="6912" width="5.140625" style="3" customWidth="1"/>
    <col min="6913" max="6913" width="19.85546875" style="3" customWidth="1"/>
    <col min="6914" max="6914" width="11.85546875" style="3" customWidth="1"/>
    <col min="6915" max="6931" width="9.140625" style="3" customWidth="1"/>
    <col min="6932" max="7167" width="9" style="3"/>
    <col min="7168" max="7168" width="5.140625" style="3" customWidth="1"/>
    <col min="7169" max="7169" width="19.85546875" style="3" customWidth="1"/>
    <col min="7170" max="7170" width="11.85546875" style="3" customWidth="1"/>
    <col min="7171" max="7187" width="9.140625" style="3" customWidth="1"/>
    <col min="7188" max="7423" width="9" style="3"/>
    <col min="7424" max="7424" width="5.140625" style="3" customWidth="1"/>
    <col min="7425" max="7425" width="19.85546875" style="3" customWidth="1"/>
    <col min="7426" max="7426" width="11.85546875" style="3" customWidth="1"/>
    <col min="7427" max="7443" width="9.140625" style="3" customWidth="1"/>
    <col min="7444" max="7679" width="9" style="3"/>
    <col min="7680" max="7680" width="5.140625" style="3" customWidth="1"/>
    <col min="7681" max="7681" width="19.85546875" style="3" customWidth="1"/>
    <col min="7682" max="7682" width="11.85546875" style="3" customWidth="1"/>
    <col min="7683" max="7699" width="9.140625" style="3" customWidth="1"/>
    <col min="7700" max="7935" width="9" style="3"/>
    <col min="7936" max="7936" width="5.140625" style="3" customWidth="1"/>
    <col min="7937" max="7937" width="19.85546875" style="3" customWidth="1"/>
    <col min="7938" max="7938" width="11.85546875" style="3" customWidth="1"/>
    <col min="7939" max="7955" width="9.140625" style="3" customWidth="1"/>
    <col min="7956" max="8191" width="9" style="3"/>
    <col min="8192" max="8192" width="5.140625" style="3" customWidth="1"/>
    <col min="8193" max="8193" width="19.85546875" style="3" customWidth="1"/>
    <col min="8194" max="8194" width="11.85546875" style="3" customWidth="1"/>
    <col min="8195" max="8211" width="9.140625" style="3" customWidth="1"/>
    <col min="8212" max="8447" width="9" style="3"/>
    <col min="8448" max="8448" width="5.140625" style="3" customWidth="1"/>
    <col min="8449" max="8449" width="19.85546875" style="3" customWidth="1"/>
    <col min="8450" max="8450" width="11.85546875" style="3" customWidth="1"/>
    <col min="8451" max="8467" width="9.140625" style="3" customWidth="1"/>
    <col min="8468" max="8703" width="9" style="3"/>
    <col min="8704" max="8704" width="5.140625" style="3" customWidth="1"/>
    <col min="8705" max="8705" width="19.85546875" style="3" customWidth="1"/>
    <col min="8706" max="8706" width="11.85546875" style="3" customWidth="1"/>
    <col min="8707" max="8723" width="9.140625" style="3" customWidth="1"/>
    <col min="8724" max="8959" width="9" style="3"/>
    <col min="8960" max="8960" width="5.140625" style="3" customWidth="1"/>
    <col min="8961" max="8961" width="19.85546875" style="3" customWidth="1"/>
    <col min="8962" max="8962" width="11.85546875" style="3" customWidth="1"/>
    <col min="8963" max="8979" width="9.140625" style="3" customWidth="1"/>
    <col min="8980" max="9215" width="9" style="3"/>
    <col min="9216" max="9216" width="5.140625" style="3" customWidth="1"/>
    <col min="9217" max="9217" width="19.85546875" style="3" customWidth="1"/>
    <col min="9218" max="9218" width="11.85546875" style="3" customWidth="1"/>
    <col min="9219" max="9235" width="9.140625" style="3" customWidth="1"/>
    <col min="9236" max="9471" width="9" style="3"/>
    <col min="9472" max="9472" width="5.140625" style="3" customWidth="1"/>
    <col min="9473" max="9473" width="19.85546875" style="3" customWidth="1"/>
    <col min="9474" max="9474" width="11.85546875" style="3" customWidth="1"/>
    <col min="9475" max="9491" width="9.140625" style="3" customWidth="1"/>
    <col min="9492" max="9727" width="9" style="3"/>
    <col min="9728" max="9728" width="5.140625" style="3" customWidth="1"/>
    <col min="9729" max="9729" width="19.85546875" style="3" customWidth="1"/>
    <col min="9730" max="9730" width="11.85546875" style="3" customWidth="1"/>
    <col min="9731" max="9747" width="9.140625" style="3" customWidth="1"/>
    <col min="9748" max="9983" width="9" style="3"/>
    <col min="9984" max="9984" width="5.140625" style="3" customWidth="1"/>
    <col min="9985" max="9985" width="19.85546875" style="3" customWidth="1"/>
    <col min="9986" max="9986" width="11.85546875" style="3" customWidth="1"/>
    <col min="9987" max="10003" width="9.140625" style="3" customWidth="1"/>
    <col min="10004" max="10239" width="9" style="3"/>
    <col min="10240" max="10240" width="5.140625" style="3" customWidth="1"/>
    <col min="10241" max="10241" width="19.85546875" style="3" customWidth="1"/>
    <col min="10242" max="10242" width="11.85546875" style="3" customWidth="1"/>
    <col min="10243" max="10259" width="9.140625" style="3" customWidth="1"/>
    <col min="10260" max="10495" width="9" style="3"/>
    <col min="10496" max="10496" width="5.140625" style="3" customWidth="1"/>
    <col min="10497" max="10497" width="19.85546875" style="3" customWidth="1"/>
    <col min="10498" max="10498" width="11.85546875" style="3" customWidth="1"/>
    <col min="10499" max="10515" width="9.140625" style="3" customWidth="1"/>
    <col min="10516" max="10751" width="9" style="3"/>
    <col min="10752" max="10752" width="5.140625" style="3" customWidth="1"/>
    <col min="10753" max="10753" width="19.85546875" style="3" customWidth="1"/>
    <col min="10754" max="10754" width="11.85546875" style="3" customWidth="1"/>
    <col min="10755" max="10771" width="9.140625" style="3" customWidth="1"/>
    <col min="10772" max="11007" width="9" style="3"/>
    <col min="11008" max="11008" width="5.140625" style="3" customWidth="1"/>
    <col min="11009" max="11009" width="19.85546875" style="3" customWidth="1"/>
    <col min="11010" max="11010" width="11.85546875" style="3" customWidth="1"/>
    <col min="11011" max="11027" width="9.140625" style="3" customWidth="1"/>
    <col min="11028" max="11263" width="9" style="3"/>
    <col min="11264" max="11264" width="5.140625" style="3" customWidth="1"/>
    <col min="11265" max="11265" width="19.85546875" style="3" customWidth="1"/>
    <col min="11266" max="11266" width="11.85546875" style="3" customWidth="1"/>
    <col min="11267" max="11283" width="9.140625" style="3" customWidth="1"/>
    <col min="11284" max="11519" width="9" style="3"/>
    <col min="11520" max="11520" width="5.140625" style="3" customWidth="1"/>
    <col min="11521" max="11521" width="19.85546875" style="3" customWidth="1"/>
    <col min="11522" max="11522" width="11.85546875" style="3" customWidth="1"/>
    <col min="11523" max="11539" width="9.140625" style="3" customWidth="1"/>
    <col min="11540" max="11775" width="9" style="3"/>
    <col min="11776" max="11776" width="5.140625" style="3" customWidth="1"/>
    <col min="11777" max="11777" width="19.85546875" style="3" customWidth="1"/>
    <col min="11778" max="11778" width="11.85546875" style="3" customWidth="1"/>
    <col min="11779" max="11795" width="9.140625" style="3" customWidth="1"/>
    <col min="11796" max="12031" width="9" style="3"/>
    <col min="12032" max="12032" width="5.140625" style="3" customWidth="1"/>
    <col min="12033" max="12033" width="19.85546875" style="3" customWidth="1"/>
    <col min="12034" max="12034" width="11.85546875" style="3" customWidth="1"/>
    <col min="12035" max="12051" width="9.140625" style="3" customWidth="1"/>
    <col min="12052" max="12287" width="9" style="3"/>
    <col min="12288" max="12288" width="5.140625" style="3" customWidth="1"/>
    <col min="12289" max="12289" width="19.85546875" style="3" customWidth="1"/>
    <col min="12290" max="12290" width="11.85546875" style="3" customWidth="1"/>
    <col min="12291" max="12307" width="9.140625" style="3" customWidth="1"/>
    <col min="12308" max="12543" width="9" style="3"/>
    <col min="12544" max="12544" width="5.140625" style="3" customWidth="1"/>
    <col min="12545" max="12545" width="19.85546875" style="3" customWidth="1"/>
    <col min="12546" max="12546" width="11.85546875" style="3" customWidth="1"/>
    <col min="12547" max="12563" width="9.140625" style="3" customWidth="1"/>
    <col min="12564" max="12799" width="9" style="3"/>
    <col min="12800" max="12800" width="5.140625" style="3" customWidth="1"/>
    <col min="12801" max="12801" width="19.85546875" style="3" customWidth="1"/>
    <col min="12802" max="12802" width="11.85546875" style="3" customWidth="1"/>
    <col min="12803" max="12819" width="9.140625" style="3" customWidth="1"/>
    <col min="12820" max="13055" width="9" style="3"/>
    <col min="13056" max="13056" width="5.140625" style="3" customWidth="1"/>
    <col min="13057" max="13057" width="19.85546875" style="3" customWidth="1"/>
    <col min="13058" max="13058" width="11.85546875" style="3" customWidth="1"/>
    <col min="13059" max="13075" width="9.140625" style="3" customWidth="1"/>
    <col min="13076" max="13311" width="9" style="3"/>
    <col min="13312" max="13312" width="5.140625" style="3" customWidth="1"/>
    <col min="13313" max="13313" width="19.85546875" style="3" customWidth="1"/>
    <col min="13314" max="13314" width="11.85546875" style="3" customWidth="1"/>
    <col min="13315" max="13331" width="9.140625" style="3" customWidth="1"/>
    <col min="13332" max="13567" width="9" style="3"/>
    <col min="13568" max="13568" width="5.140625" style="3" customWidth="1"/>
    <col min="13569" max="13569" width="19.85546875" style="3" customWidth="1"/>
    <col min="13570" max="13570" width="11.85546875" style="3" customWidth="1"/>
    <col min="13571" max="13587" width="9.140625" style="3" customWidth="1"/>
    <col min="13588" max="13823" width="9" style="3"/>
    <col min="13824" max="13824" width="5.140625" style="3" customWidth="1"/>
    <col min="13825" max="13825" width="19.85546875" style="3" customWidth="1"/>
    <col min="13826" max="13826" width="11.85546875" style="3" customWidth="1"/>
    <col min="13827" max="13843" width="9.140625" style="3" customWidth="1"/>
    <col min="13844" max="14079" width="9" style="3"/>
    <col min="14080" max="14080" width="5.140625" style="3" customWidth="1"/>
    <col min="14081" max="14081" width="19.85546875" style="3" customWidth="1"/>
    <col min="14082" max="14082" width="11.85546875" style="3" customWidth="1"/>
    <col min="14083" max="14099" width="9.140625" style="3" customWidth="1"/>
    <col min="14100" max="14335" width="9" style="3"/>
    <col min="14336" max="14336" width="5.140625" style="3" customWidth="1"/>
    <col min="14337" max="14337" width="19.85546875" style="3" customWidth="1"/>
    <col min="14338" max="14338" width="11.85546875" style="3" customWidth="1"/>
    <col min="14339" max="14355" width="9.140625" style="3" customWidth="1"/>
    <col min="14356" max="14591" width="9" style="3"/>
    <col min="14592" max="14592" width="5.140625" style="3" customWidth="1"/>
    <col min="14593" max="14593" width="19.85546875" style="3" customWidth="1"/>
    <col min="14594" max="14594" width="11.85546875" style="3" customWidth="1"/>
    <col min="14595" max="14611" width="9.140625" style="3" customWidth="1"/>
    <col min="14612" max="14847" width="9" style="3"/>
    <col min="14848" max="14848" width="5.140625" style="3" customWidth="1"/>
    <col min="14849" max="14849" width="19.85546875" style="3" customWidth="1"/>
    <col min="14850" max="14850" width="11.85546875" style="3" customWidth="1"/>
    <col min="14851" max="14867" width="9.140625" style="3" customWidth="1"/>
    <col min="14868" max="15103" width="9" style="3"/>
    <col min="15104" max="15104" width="5.140625" style="3" customWidth="1"/>
    <col min="15105" max="15105" width="19.85546875" style="3" customWidth="1"/>
    <col min="15106" max="15106" width="11.85546875" style="3" customWidth="1"/>
    <col min="15107" max="15123" width="9.140625" style="3" customWidth="1"/>
    <col min="15124" max="15359" width="9" style="3"/>
    <col min="15360" max="15360" width="5.140625" style="3" customWidth="1"/>
    <col min="15361" max="15361" width="19.85546875" style="3" customWidth="1"/>
    <col min="15362" max="15362" width="11.85546875" style="3" customWidth="1"/>
    <col min="15363" max="15379" width="9.140625" style="3" customWidth="1"/>
    <col min="15380" max="15615" width="9" style="3"/>
    <col min="15616" max="15616" width="5.140625" style="3" customWidth="1"/>
    <col min="15617" max="15617" width="19.85546875" style="3" customWidth="1"/>
    <col min="15618" max="15618" width="11.85546875" style="3" customWidth="1"/>
    <col min="15619" max="15635" width="9.140625" style="3" customWidth="1"/>
    <col min="15636" max="15871" width="9" style="3"/>
    <col min="15872" max="15872" width="5.140625" style="3" customWidth="1"/>
    <col min="15873" max="15873" width="19.85546875" style="3" customWidth="1"/>
    <col min="15874" max="15874" width="11.85546875" style="3" customWidth="1"/>
    <col min="15875" max="15891" width="9.140625" style="3" customWidth="1"/>
    <col min="15892" max="16127" width="9" style="3"/>
    <col min="16128" max="16128" width="5.140625" style="3" customWidth="1"/>
    <col min="16129" max="16129" width="19.85546875" style="3" customWidth="1"/>
    <col min="16130" max="16130" width="11.85546875" style="3" customWidth="1"/>
    <col min="16131" max="16147" width="9.140625" style="3" customWidth="1"/>
    <col min="16148" max="16384" width="9" style="3"/>
  </cols>
  <sheetData>
    <row r="1" spans="1:21" ht="34.5" thickBot="1" x14ac:dyDescent="0.3">
      <c r="A1" s="176" t="s">
        <v>69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8"/>
      <c r="T1" s="1"/>
      <c r="U1" s="1"/>
    </row>
    <row r="2" spans="1:21" ht="174" customHeight="1" thickBot="1" x14ac:dyDescent="0.3">
      <c r="A2" s="4" t="s">
        <v>0</v>
      </c>
      <c r="B2" s="5" t="s">
        <v>1</v>
      </c>
      <c r="C2" s="6" t="s">
        <v>2</v>
      </c>
      <c r="D2" s="7" t="s">
        <v>70</v>
      </c>
      <c r="E2" s="8" t="s">
        <v>71</v>
      </c>
      <c r="F2" s="7" t="s">
        <v>79</v>
      </c>
      <c r="G2" s="7" t="s">
        <v>80</v>
      </c>
      <c r="H2" s="7" t="s">
        <v>95</v>
      </c>
      <c r="I2" s="7" t="s">
        <v>94</v>
      </c>
      <c r="J2" s="8" t="s">
        <v>113</v>
      </c>
      <c r="K2" s="8" t="s">
        <v>114</v>
      </c>
      <c r="L2" s="8" t="s">
        <v>144</v>
      </c>
      <c r="M2" s="8" t="s">
        <v>145</v>
      </c>
      <c r="N2" s="8" t="s">
        <v>146</v>
      </c>
      <c r="O2" s="8" t="s">
        <v>148</v>
      </c>
      <c r="P2" s="8" t="s">
        <v>149</v>
      </c>
      <c r="Q2" s="7" t="s">
        <v>170</v>
      </c>
      <c r="R2" s="8" t="s">
        <v>171</v>
      </c>
      <c r="S2" s="9" t="s">
        <v>3</v>
      </c>
      <c r="T2" s="10"/>
      <c r="U2" s="10"/>
    </row>
    <row r="3" spans="1:21" x14ac:dyDescent="0.25">
      <c r="A3" s="13" t="s">
        <v>4</v>
      </c>
      <c r="B3" s="14" t="s">
        <v>65</v>
      </c>
      <c r="C3" s="15" t="s">
        <v>66</v>
      </c>
      <c r="D3" s="86"/>
      <c r="E3" s="17">
        <f>100-(102.33-102.33)/102.33*50</f>
        <v>100</v>
      </c>
      <c r="F3" s="17">
        <f>100-(40.65-40.65)/40.65*50</f>
        <v>100</v>
      </c>
      <c r="G3" s="17">
        <f>100-(118.37-97.93)/97.93*50</f>
        <v>89.563974267333805</v>
      </c>
      <c r="H3" s="157" t="s">
        <v>12</v>
      </c>
      <c r="I3" s="136">
        <f>100-(70.43-40.65)/40.65*50</f>
        <v>63.370233702337018</v>
      </c>
      <c r="J3" s="136">
        <f>100-(35.02-26.58)/26.58*50</f>
        <v>84.123401053423621</v>
      </c>
      <c r="K3" s="157" t="s">
        <v>12</v>
      </c>
      <c r="L3" s="17"/>
      <c r="M3" s="17"/>
      <c r="N3" s="120"/>
      <c r="O3" s="17">
        <f>100-(46.37-46.37)/46.37*50</f>
        <v>100</v>
      </c>
      <c r="P3" s="17">
        <f>100-(114.88-114.88)/114.88*50</f>
        <v>100</v>
      </c>
      <c r="Q3" s="17">
        <f>100-(45.22-45.22)/45.22*50</f>
        <v>100</v>
      </c>
      <c r="R3" s="154">
        <f>100-(66.57-61.23)/61.23*50</f>
        <v>95.639392454679083</v>
      </c>
      <c r="S3" s="20">
        <f>SUM(D3:R3)-I3-J3</f>
        <v>685.2033667220129</v>
      </c>
    </row>
    <row r="4" spans="1:21" x14ac:dyDescent="0.25">
      <c r="A4" s="22" t="s">
        <v>6</v>
      </c>
      <c r="B4" s="116" t="s">
        <v>132</v>
      </c>
      <c r="C4" s="32" t="s">
        <v>39</v>
      </c>
      <c r="D4" s="125"/>
      <c r="E4" s="25"/>
      <c r="F4" s="71"/>
      <c r="G4" s="57"/>
      <c r="H4" s="57"/>
      <c r="I4" s="57"/>
      <c r="J4" s="25">
        <f>100-(26.58-26.58)/26.58*50</f>
        <v>100</v>
      </c>
      <c r="K4" s="25">
        <f>100-(49.48-49.48)/49.48*50</f>
        <v>100</v>
      </c>
      <c r="L4" s="25">
        <f>100-(77.05-77.05)/77.05*50</f>
        <v>100</v>
      </c>
      <c r="M4" s="25">
        <f>100-(111.37-111.37)/111.37*50</f>
        <v>100</v>
      </c>
      <c r="N4" s="18"/>
      <c r="O4" s="18"/>
      <c r="P4" s="18"/>
      <c r="Q4" s="25"/>
      <c r="R4" s="24"/>
      <c r="S4" s="26">
        <f t="shared" ref="S4:S9" si="0">SUM(D4:R4)</f>
        <v>400</v>
      </c>
    </row>
    <row r="5" spans="1:21" x14ac:dyDescent="0.25">
      <c r="A5" s="22" t="s">
        <v>8</v>
      </c>
      <c r="B5" s="23" t="s">
        <v>67</v>
      </c>
      <c r="C5" s="24" t="s">
        <v>7</v>
      </c>
      <c r="D5" s="116"/>
      <c r="E5" s="25">
        <f>100-(162.55-102.33)/102.33*50</f>
        <v>70.57558878139352</v>
      </c>
      <c r="F5" s="25"/>
      <c r="G5" s="25"/>
      <c r="H5" s="25">
        <f>100-(70.27-70.27)/70.27*50</f>
        <v>100</v>
      </c>
      <c r="I5" s="21"/>
      <c r="J5" s="18">
        <f>100-(67.13-26.58)/26.58*50</f>
        <v>23.720842738901425</v>
      </c>
      <c r="K5" s="94" t="s">
        <v>12</v>
      </c>
      <c r="L5" s="25"/>
      <c r="M5" s="57"/>
      <c r="N5" s="18"/>
      <c r="O5" s="25"/>
      <c r="P5" s="25"/>
      <c r="Q5" s="25">
        <f>100-(68.55-45.22)/45.22*50</f>
        <v>74.203892083149043</v>
      </c>
      <c r="R5" s="155">
        <f>100-(70.12-61.23)/61.23*50</f>
        <v>92.740486689531267</v>
      </c>
      <c r="S5" s="26">
        <f t="shared" si="0"/>
        <v>361.24081029297531</v>
      </c>
    </row>
    <row r="6" spans="1:21" x14ac:dyDescent="0.25">
      <c r="A6" s="22" t="s">
        <v>11</v>
      </c>
      <c r="B6" s="23" t="s">
        <v>133</v>
      </c>
      <c r="C6" s="24" t="s">
        <v>48</v>
      </c>
      <c r="D6" s="116"/>
      <c r="E6" s="21"/>
      <c r="F6" s="71"/>
      <c r="G6" s="57"/>
      <c r="H6" s="21"/>
      <c r="I6" s="21"/>
      <c r="J6" s="25">
        <f>100-(28.57-26.58)/26.58*50</f>
        <v>96.256583897667412</v>
      </c>
      <c r="K6" s="25">
        <f>100-(51.4-49.48)/49.48*50</f>
        <v>98.059822150363786</v>
      </c>
      <c r="L6" s="18"/>
      <c r="M6" s="21"/>
      <c r="N6" s="21"/>
      <c r="O6" s="21"/>
      <c r="P6" s="21"/>
      <c r="Q6" s="57"/>
      <c r="R6" s="158"/>
      <c r="S6" s="26">
        <f t="shared" si="0"/>
        <v>194.31640604803118</v>
      </c>
    </row>
    <row r="7" spans="1:21" x14ac:dyDescent="0.25">
      <c r="A7" s="22" t="s">
        <v>13</v>
      </c>
      <c r="B7" s="23" t="s">
        <v>87</v>
      </c>
      <c r="C7" s="24" t="s">
        <v>61</v>
      </c>
      <c r="D7" s="125"/>
      <c r="E7" s="18"/>
      <c r="F7" s="25"/>
      <c r="G7" s="25">
        <f>100-(97.93-97.93)/97.93*50</f>
        <v>100</v>
      </c>
      <c r="H7" s="21"/>
      <c r="I7" s="21"/>
      <c r="J7" s="25"/>
      <c r="K7" s="25"/>
      <c r="L7" s="18"/>
      <c r="M7" s="18"/>
      <c r="N7" s="21"/>
      <c r="O7" s="21"/>
      <c r="P7" s="21"/>
      <c r="Q7" s="57"/>
      <c r="R7" s="25"/>
      <c r="S7" s="26">
        <f t="shared" si="0"/>
        <v>100</v>
      </c>
    </row>
    <row r="8" spans="1:21" x14ac:dyDescent="0.25">
      <c r="A8" s="22" t="s">
        <v>13</v>
      </c>
      <c r="B8" s="23" t="s">
        <v>182</v>
      </c>
      <c r="C8" s="24" t="s">
        <v>56</v>
      </c>
      <c r="D8" s="31"/>
      <c r="E8" s="18"/>
      <c r="F8" s="25"/>
      <c r="G8" s="25"/>
      <c r="H8" s="21"/>
      <c r="I8" s="21"/>
      <c r="J8" s="59"/>
      <c r="K8" s="25"/>
      <c r="L8" s="18"/>
      <c r="M8" s="18"/>
      <c r="N8" s="18"/>
      <c r="O8" s="18"/>
      <c r="P8" s="18"/>
      <c r="Q8" s="18"/>
      <c r="R8" s="155">
        <f>100-(61.23-61.23)/61.23*50</f>
        <v>100</v>
      </c>
      <c r="S8" s="26">
        <f t="shared" si="0"/>
        <v>100</v>
      </c>
    </row>
    <row r="9" spans="1:21" ht="15.75" thickBot="1" x14ac:dyDescent="0.3">
      <c r="A9" s="39" t="s">
        <v>18</v>
      </c>
      <c r="B9" s="40" t="s">
        <v>183</v>
      </c>
      <c r="C9" s="41" t="s">
        <v>39</v>
      </c>
      <c r="D9" s="40"/>
      <c r="E9" s="46"/>
      <c r="F9" s="43"/>
      <c r="G9" s="43"/>
      <c r="H9" s="43"/>
      <c r="I9" s="61"/>
      <c r="J9" s="43"/>
      <c r="K9" s="165"/>
      <c r="L9" s="43"/>
      <c r="M9" s="61"/>
      <c r="N9" s="43"/>
      <c r="O9" s="43"/>
      <c r="P9" s="43"/>
      <c r="Q9" s="43"/>
      <c r="R9" s="175" t="s">
        <v>12</v>
      </c>
      <c r="S9" s="47">
        <f t="shared" si="0"/>
        <v>0</v>
      </c>
    </row>
    <row r="10" spans="1:21" x14ac:dyDescent="0.25">
      <c r="A10" s="2"/>
      <c r="B10" s="2"/>
      <c r="C10" s="2"/>
      <c r="D10" s="2"/>
      <c r="E10" s="2"/>
      <c r="F10" s="52"/>
      <c r="G10" s="2"/>
      <c r="H10" s="2"/>
      <c r="I10" s="2"/>
      <c r="J10" s="2"/>
      <c r="K10" s="2"/>
      <c r="L10" s="2"/>
      <c r="M10" s="79"/>
      <c r="N10" s="2"/>
      <c r="O10" s="2"/>
      <c r="P10" s="2"/>
      <c r="Q10" s="2"/>
      <c r="R10" s="2"/>
      <c r="S10" s="51"/>
    </row>
    <row r="11" spans="1:21" x14ac:dyDescent="0.25">
      <c r="A11" s="2"/>
      <c r="B11" s="2"/>
      <c r="C11" s="2"/>
      <c r="D11" s="2"/>
      <c r="E11" s="2"/>
      <c r="F11" s="52"/>
      <c r="G11" s="2"/>
      <c r="H11" s="2"/>
      <c r="I11" s="2"/>
      <c r="J11" s="2"/>
      <c r="K11" s="2"/>
      <c r="L11" s="2"/>
      <c r="M11" s="2"/>
      <c r="N11" s="48"/>
      <c r="O11" s="48"/>
      <c r="P11" s="48"/>
      <c r="Q11" s="48"/>
      <c r="R11" s="2"/>
      <c r="S11" s="51"/>
    </row>
    <row r="12" spans="1:21" x14ac:dyDescent="0.25">
      <c r="A12" s="2"/>
      <c r="B12" s="2"/>
      <c r="C12" s="2"/>
      <c r="D12" s="2"/>
      <c r="E12" s="2"/>
      <c r="F12" s="5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21" s="53" customFormat="1" x14ac:dyDescent="0.25">
      <c r="A13" s="53" t="s">
        <v>36</v>
      </c>
    </row>
    <row r="14" spans="1:21" s="54" customFormat="1" x14ac:dyDescent="0.25">
      <c r="A14" s="54" t="s">
        <v>37</v>
      </c>
    </row>
  </sheetData>
  <sortState ref="B3:S9">
    <sortCondition descending="1" ref="S3"/>
  </sortState>
  <mergeCells count="1">
    <mergeCell ref="A1:S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workbookViewId="0">
      <selection activeCell="B24" sqref="B24"/>
    </sheetView>
  </sheetViews>
  <sheetFormatPr defaultColWidth="9" defaultRowHeight="15" x14ac:dyDescent="0.25"/>
  <cols>
    <col min="1" max="1" width="5" style="3" customWidth="1"/>
    <col min="2" max="2" width="18.28515625" style="3" customWidth="1"/>
    <col min="3" max="3" width="17" style="3" customWidth="1"/>
    <col min="4" max="19" width="9.140625" style="3" customWidth="1"/>
    <col min="20" max="22" width="9" style="2"/>
    <col min="23" max="255" width="9" style="3"/>
    <col min="256" max="256" width="5" style="3" customWidth="1"/>
    <col min="257" max="257" width="20.7109375" style="3" customWidth="1"/>
    <col min="258" max="258" width="19.140625" style="3" customWidth="1"/>
    <col min="259" max="275" width="9.140625" style="3" customWidth="1"/>
    <col min="276" max="511" width="9" style="3"/>
    <col min="512" max="512" width="5" style="3" customWidth="1"/>
    <col min="513" max="513" width="20.7109375" style="3" customWidth="1"/>
    <col min="514" max="514" width="19.140625" style="3" customWidth="1"/>
    <col min="515" max="531" width="9.140625" style="3" customWidth="1"/>
    <col min="532" max="767" width="9" style="3"/>
    <col min="768" max="768" width="5" style="3" customWidth="1"/>
    <col min="769" max="769" width="20.7109375" style="3" customWidth="1"/>
    <col min="770" max="770" width="19.140625" style="3" customWidth="1"/>
    <col min="771" max="787" width="9.140625" style="3" customWidth="1"/>
    <col min="788" max="1023" width="9" style="3"/>
    <col min="1024" max="1024" width="5" style="3" customWidth="1"/>
    <col min="1025" max="1025" width="20.7109375" style="3" customWidth="1"/>
    <col min="1026" max="1026" width="19.140625" style="3" customWidth="1"/>
    <col min="1027" max="1043" width="9.140625" style="3" customWidth="1"/>
    <col min="1044" max="1279" width="9" style="3"/>
    <col min="1280" max="1280" width="5" style="3" customWidth="1"/>
    <col min="1281" max="1281" width="20.7109375" style="3" customWidth="1"/>
    <col min="1282" max="1282" width="19.140625" style="3" customWidth="1"/>
    <col min="1283" max="1299" width="9.140625" style="3" customWidth="1"/>
    <col min="1300" max="1535" width="9" style="3"/>
    <col min="1536" max="1536" width="5" style="3" customWidth="1"/>
    <col min="1537" max="1537" width="20.7109375" style="3" customWidth="1"/>
    <col min="1538" max="1538" width="19.140625" style="3" customWidth="1"/>
    <col min="1539" max="1555" width="9.140625" style="3" customWidth="1"/>
    <col min="1556" max="1791" width="9" style="3"/>
    <col min="1792" max="1792" width="5" style="3" customWidth="1"/>
    <col min="1793" max="1793" width="20.7109375" style="3" customWidth="1"/>
    <col min="1794" max="1794" width="19.140625" style="3" customWidth="1"/>
    <col min="1795" max="1811" width="9.140625" style="3" customWidth="1"/>
    <col min="1812" max="2047" width="9" style="3"/>
    <col min="2048" max="2048" width="5" style="3" customWidth="1"/>
    <col min="2049" max="2049" width="20.7109375" style="3" customWidth="1"/>
    <col min="2050" max="2050" width="19.140625" style="3" customWidth="1"/>
    <col min="2051" max="2067" width="9.140625" style="3" customWidth="1"/>
    <col min="2068" max="2303" width="9" style="3"/>
    <col min="2304" max="2304" width="5" style="3" customWidth="1"/>
    <col min="2305" max="2305" width="20.7109375" style="3" customWidth="1"/>
    <col min="2306" max="2306" width="19.140625" style="3" customWidth="1"/>
    <col min="2307" max="2323" width="9.140625" style="3" customWidth="1"/>
    <col min="2324" max="2559" width="9" style="3"/>
    <col min="2560" max="2560" width="5" style="3" customWidth="1"/>
    <col min="2561" max="2561" width="20.7109375" style="3" customWidth="1"/>
    <col min="2562" max="2562" width="19.140625" style="3" customWidth="1"/>
    <col min="2563" max="2579" width="9.140625" style="3" customWidth="1"/>
    <col min="2580" max="2815" width="9" style="3"/>
    <col min="2816" max="2816" width="5" style="3" customWidth="1"/>
    <col min="2817" max="2817" width="20.7109375" style="3" customWidth="1"/>
    <col min="2818" max="2818" width="19.140625" style="3" customWidth="1"/>
    <col min="2819" max="2835" width="9.140625" style="3" customWidth="1"/>
    <col min="2836" max="3071" width="9" style="3"/>
    <col min="3072" max="3072" width="5" style="3" customWidth="1"/>
    <col min="3073" max="3073" width="20.7109375" style="3" customWidth="1"/>
    <col min="3074" max="3074" width="19.140625" style="3" customWidth="1"/>
    <col min="3075" max="3091" width="9.140625" style="3" customWidth="1"/>
    <col min="3092" max="3327" width="9" style="3"/>
    <col min="3328" max="3328" width="5" style="3" customWidth="1"/>
    <col min="3329" max="3329" width="20.7109375" style="3" customWidth="1"/>
    <col min="3330" max="3330" width="19.140625" style="3" customWidth="1"/>
    <col min="3331" max="3347" width="9.140625" style="3" customWidth="1"/>
    <col min="3348" max="3583" width="9" style="3"/>
    <col min="3584" max="3584" width="5" style="3" customWidth="1"/>
    <col min="3585" max="3585" width="20.7109375" style="3" customWidth="1"/>
    <col min="3586" max="3586" width="19.140625" style="3" customWidth="1"/>
    <col min="3587" max="3603" width="9.140625" style="3" customWidth="1"/>
    <col min="3604" max="3839" width="9" style="3"/>
    <col min="3840" max="3840" width="5" style="3" customWidth="1"/>
    <col min="3841" max="3841" width="20.7109375" style="3" customWidth="1"/>
    <col min="3842" max="3842" width="19.140625" style="3" customWidth="1"/>
    <col min="3843" max="3859" width="9.140625" style="3" customWidth="1"/>
    <col min="3860" max="4095" width="9" style="3"/>
    <col min="4096" max="4096" width="5" style="3" customWidth="1"/>
    <col min="4097" max="4097" width="20.7109375" style="3" customWidth="1"/>
    <col min="4098" max="4098" width="19.140625" style="3" customWidth="1"/>
    <col min="4099" max="4115" width="9.140625" style="3" customWidth="1"/>
    <col min="4116" max="4351" width="9" style="3"/>
    <col min="4352" max="4352" width="5" style="3" customWidth="1"/>
    <col min="4353" max="4353" width="20.7109375" style="3" customWidth="1"/>
    <col min="4354" max="4354" width="19.140625" style="3" customWidth="1"/>
    <col min="4355" max="4371" width="9.140625" style="3" customWidth="1"/>
    <col min="4372" max="4607" width="9" style="3"/>
    <col min="4608" max="4608" width="5" style="3" customWidth="1"/>
    <col min="4609" max="4609" width="20.7109375" style="3" customWidth="1"/>
    <col min="4610" max="4610" width="19.140625" style="3" customWidth="1"/>
    <col min="4611" max="4627" width="9.140625" style="3" customWidth="1"/>
    <col min="4628" max="4863" width="9" style="3"/>
    <col min="4864" max="4864" width="5" style="3" customWidth="1"/>
    <col min="4865" max="4865" width="20.7109375" style="3" customWidth="1"/>
    <col min="4866" max="4866" width="19.140625" style="3" customWidth="1"/>
    <col min="4867" max="4883" width="9.140625" style="3" customWidth="1"/>
    <col min="4884" max="5119" width="9" style="3"/>
    <col min="5120" max="5120" width="5" style="3" customWidth="1"/>
    <col min="5121" max="5121" width="20.7109375" style="3" customWidth="1"/>
    <col min="5122" max="5122" width="19.140625" style="3" customWidth="1"/>
    <col min="5123" max="5139" width="9.140625" style="3" customWidth="1"/>
    <col min="5140" max="5375" width="9" style="3"/>
    <col min="5376" max="5376" width="5" style="3" customWidth="1"/>
    <col min="5377" max="5377" width="20.7109375" style="3" customWidth="1"/>
    <col min="5378" max="5378" width="19.140625" style="3" customWidth="1"/>
    <col min="5379" max="5395" width="9.140625" style="3" customWidth="1"/>
    <col min="5396" max="5631" width="9" style="3"/>
    <col min="5632" max="5632" width="5" style="3" customWidth="1"/>
    <col min="5633" max="5633" width="20.7109375" style="3" customWidth="1"/>
    <col min="5634" max="5634" width="19.140625" style="3" customWidth="1"/>
    <col min="5635" max="5651" width="9.140625" style="3" customWidth="1"/>
    <col min="5652" max="5887" width="9" style="3"/>
    <col min="5888" max="5888" width="5" style="3" customWidth="1"/>
    <col min="5889" max="5889" width="20.7109375" style="3" customWidth="1"/>
    <col min="5890" max="5890" width="19.140625" style="3" customWidth="1"/>
    <col min="5891" max="5907" width="9.140625" style="3" customWidth="1"/>
    <col min="5908" max="6143" width="9" style="3"/>
    <col min="6144" max="6144" width="5" style="3" customWidth="1"/>
    <col min="6145" max="6145" width="20.7109375" style="3" customWidth="1"/>
    <col min="6146" max="6146" width="19.140625" style="3" customWidth="1"/>
    <col min="6147" max="6163" width="9.140625" style="3" customWidth="1"/>
    <col min="6164" max="6399" width="9" style="3"/>
    <col min="6400" max="6400" width="5" style="3" customWidth="1"/>
    <col min="6401" max="6401" width="20.7109375" style="3" customWidth="1"/>
    <col min="6402" max="6402" width="19.140625" style="3" customWidth="1"/>
    <col min="6403" max="6419" width="9.140625" style="3" customWidth="1"/>
    <col min="6420" max="6655" width="9" style="3"/>
    <col min="6656" max="6656" width="5" style="3" customWidth="1"/>
    <col min="6657" max="6657" width="20.7109375" style="3" customWidth="1"/>
    <col min="6658" max="6658" width="19.140625" style="3" customWidth="1"/>
    <col min="6659" max="6675" width="9.140625" style="3" customWidth="1"/>
    <col min="6676" max="6911" width="9" style="3"/>
    <col min="6912" max="6912" width="5" style="3" customWidth="1"/>
    <col min="6913" max="6913" width="20.7109375" style="3" customWidth="1"/>
    <col min="6914" max="6914" width="19.140625" style="3" customWidth="1"/>
    <col min="6915" max="6931" width="9.140625" style="3" customWidth="1"/>
    <col min="6932" max="7167" width="9" style="3"/>
    <col min="7168" max="7168" width="5" style="3" customWidth="1"/>
    <col min="7169" max="7169" width="20.7109375" style="3" customWidth="1"/>
    <col min="7170" max="7170" width="19.140625" style="3" customWidth="1"/>
    <col min="7171" max="7187" width="9.140625" style="3" customWidth="1"/>
    <col min="7188" max="7423" width="9" style="3"/>
    <col min="7424" max="7424" width="5" style="3" customWidth="1"/>
    <col min="7425" max="7425" width="20.7109375" style="3" customWidth="1"/>
    <col min="7426" max="7426" width="19.140625" style="3" customWidth="1"/>
    <col min="7427" max="7443" width="9.140625" style="3" customWidth="1"/>
    <col min="7444" max="7679" width="9" style="3"/>
    <col min="7680" max="7680" width="5" style="3" customWidth="1"/>
    <col min="7681" max="7681" width="20.7109375" style="3" customWidth="1"/>
    <col min="7682" max="7682" width="19.140625" style="3" customWidth="1"/>
    <col min="7683" max="7699" width="9.140625" style="3" customWidth="1"/>
    <col min="7700" max="7935" width="9" style="3"/>
    <col min="7936" max="7936" width="5" style="3" customWidth="1"/>
    <col min="7937" max="7937" width="20.7109375" style="3" customWidth="1"/>
    <col min="7938" max="7938" width="19.140625" style="3" customWidth="1"/>
    <col min="7939" max="7955" width="9.140625" style="3" customWidth="1"/>
    <col min="7956" max="8191" width="9" style="3"/>
    <col min="8192" max="8192" width="5" style="3" customWidth="1"/>
    <col min="8193" max="8193" width="20.7109375" style="3" customWidth="1"/>
    <col min="8194" max="8194" width="19.140625" style="3" customWidth="1"/>
    <col min="8195" max="8211" width="9.140625" style="3" customWidth="1"/>
    <col min="8212" max="8447" width="9" style="3"/>
    <col min="8448" max="8448" width="5" style="3" customWidth="1"/>
    <col min="8449" max="8449" width="20.7109375" style="3" customWidth="1"/>
    <col min="8450" max="8450" width="19.140625" style="3" customWidth="1"/>
    <col min="8451" max="8467" width="9.140625" style="3" customWidth="1"/>
    <col min="8468" max="8703" width="9" style="3"/>
    <col min="8704" max="8704" width="5" style="3" customWidth="1"/>
    <col min="8705" max="8705" width="20.7109375" style="3" customWidth="1"/>
    <col min="8706" max="8706" width="19.140625" style="3" customWidth="1"/>
    <col min="8707" max="8723" width="9.140625" style="3" customWidth="1"/>
    <col min="8724" max="8959" width="9" style="3"/>
    <col min="8960" max="8960" width="5" style="3" customWidth="1"/>
    <col min="8961" max="8961" width="20.7109375" style="3" customWidth="1"/>
    <col min="8962" max="8962" width="19.140625" style="3" customWidth="1"/>
    <col min="8963" max="8979" width="9.140625" style="3" customWidth="1"/>
    <col min="8980" max="9215" width="9" style="3"/>
    <col min="9216" max="9216" width="5" style="3" customWidth="1"/>
    <col min="9217" max="9217" width="20.7109375" style="3" customWidth="1"/>
    <col min="9218" max="9218" width="19.140625" style="3" customWidth="1"/>
    <col min="9219" max="9235" width="9.140625" style="3" customWidth="1"/>
    <col min="9236" max="9471" width="9" style="3"/>
    <col min="9472" max="9472" width="5" style="3" customWidth="1"/>
    <col min="9473" max="9473" width="20.7109375" style="3" customWidth="1"/>
    <col min="9474" max="9474" width="19.140625" style="3" customWidth="1"/>
    <col min="9475" max="9491" width="9.140625" style="3" customWidth="1"/>
    <col min="9492" max="9727" width="9" style="3"/>
    <col min="9728" max="9728" width="5" style="3" customWidth="1"/>
    <col min="9729" max="9729" width="20.7109375" style="3" customWidth="1"/>
    <col min="9730" max="9730" width="19.140625" style="3" customWidth="1"/>
    <col min="9731" max="9747" width="9.140625" style="3" customWidth="1"/>
    <col min="9748" max="9983" width="9" style="3"/>
    <col min="9984" max="9984" width="5" style="3" customWidth="1"/>
    <col min="9985" max="9985" width="20.7109375" style="3" customWidth="1"/>
    <col min="9986" max="9986" width="19.140625" style="3" customWidth="1"/>
    <col min="9987" max="10003" width="9.140625" style="3" customWidth="1"/>
    <col min="10004" max="10239" width="9" style="3"/>
    <col min="10240" max="10240" width="5" style="3" customWidth="1"/>
    <col min="10241" max="10241" width="20.7109375" style="3" customWidth="1"/>
    <col min="10242" max="10242" width="19.140625" style="3" customWidth="1"/>
    <col min="10243" max="10259" width="9.140625" style="3" customWidth="1"/>
    <col min="10260" max="10495" width="9" style="3"/>
    <col min="10496" max="10496" width="5" style="3" customWidth="1"/>
    <col min="10497" max="10497" width="20.7109375" style="3" customWidth="1"/>
    <col min="10498" max="10498" width="19.140625" style="3" customWidth="1"/>
    <col min="10499" max="10515" width="9.140625" style="3" customWidth="1"/>
    <col min="10516" max="10751" width="9" style="3"/>
    <col min="10752" max="10752" width="5" style="3" customWidth="1"/>
    <col min="10753" max="10753" width="20.7109375" style="3" customWidth="1"/>
    <col min="10754" max="10754" width="19.140625" style="3" customWidth="1"/>
    <col min="10755" max="10771" width="9.140625" style="3" customWidth="1"/>
    <col min="10772" max="11007" width="9" style="3"/>
    <col min="11008" max="11008" width="5" style="3" customWidth="1"/>
    <col min="11009" max="11009" width="20.7109375" style="3" customWidth="1"/>
    <col min="11010" max="11010" width="19.140625" style="3" customWidth="1"/>
    <col min="11011" max="11027" width="9.140625" style="3" customWidth="1"/>
    <col min="11028" max="11263" width="9" style="3"/>
    <col min="11264" max="11264" width="5" style="3" customWidth="1"/>
    <col min="11265" max="11265" width="20.7109375" style="3" customWidth="1"/>
    <col min="11266" max="11266" width="19.140625" style="3" customWidth="1"/>
    <col min="11267" max="11283" width="9.140625" style="3" customWidth="1"/>
    <col min="11284" max="11519" width="9" style="3"/>
    <col min="11520" max="11520" width="5" style="3" customWidth="1"/>
    <col min="11521" max="11521" width="20.7109375" style="3" customWidth="1"/>
    <col min="11522" max="11522" width="19.140625" style="3" customWidth="1"/>
    <col min="11523" max="11539" width="9.140625" style="3" customWidth="1"/>
    <col min="11540" max="11775" width="9" style="3"/>
    <col min="11776" max="11776" width="5" style="3" customWidth="1"/>
    <col min="11777" max="11777" width="20.7109375" style="3" customWidth="1"/>
    <col min="11778" max="11778" width="19.140625" style="3" customWidth="1"/>
    <col min="11779" max="11795" width="9.140625" style="3" customWidth="1"/>
    <col min="11796" max="12031" width="9" style="3"/>
    <col min="12032" max="12032" width="5" style="3" customWidth="1"/>
    <col min="12033" max="12033" width="20.7109375" style="3" customWidth="1"/>
    <col min="12034" max="12034" width="19.140625" style="3" customWidth="1"/>
    <col min="12035" max="12051" width="9.140625" style="3" customWidth="1"/>
    <col min="12052" max="12287" width="9" style="3"/>
    <col min="12288" max="12288" width="5" style="3" customWidth="1"/>
    <col min="12289" max="12289" width="20.7109375" style="3" customWidth="1"/>
    <col min="12290" max="12290" width="19.140625" style="3" customWidth="1"/>
    <col min="12291" max="12307" width="9.140625" style="3" customWidth="1"/>
    <col min="12308" max="12543" width="9" style="3"/>
    <col min="12544" max="12544" width="5" style="3" customWidth="1"/>
    <col min="12545" max="12545" width="20.7109375" style="3" customWidth="1"/>
    <col min="12546" max="12546" width="19.140625" style="3" customWidth="1"/>
    <col min="12547" max="12563" width="9.140625" style="3" customWidth="1"/>
    <col min="12564" max="12799" width="9" style="3"/>
    <col min="12800" max="12800" width="5" style="3" customWidth="1"/>
    <col min="12801" max="12801" width="20.7109375" style="3" customWidth="1"/>
    <col min="12802" max="12802" width="19.140625" style="3" customWidth="1"/>
    <col min="12803" max="12819" width="9.140625" style="3" customWidth="1"/>
    <col min="12820" max="13055" width="9" style="3"/>
    <col min="13056" max="13056" width="5" style="3" customWidth="1"/>
    <col min="13057" max="13057" width="20.7109375" style="3" customWidth="1"/>
    <col min="13058" max="13058" width="19.140625" style="3" customWidth="1"/>
    <col min="13059" max="13075" width="9.140625" style="3" customWidth="1"/>
    <col min="13076" max="13311" width="9" style="3"/>
    <col min="13312" max="13312" width="5" style="3" customWidth="1"/>
    <col min="13313" max="13313" width="20.7109375" style="3" customWidth="1"/>
    <col min="13314" max="13314" width="19.140625" style="3" customWidth="1"/>
    <col min="13315" max="13331" width="9.140625" style="3" customWidth="1"/>
    <col min="13332" max="13567" width="9" style="3"/>
    <col min="13568" max="13568" width="5" style="3" customWidth="1"/>
    <col min="13569" max="13569" width="20.7109375" style="3" customWidth="1"/>
    <col min="13570" max="13570" width="19.140625" style="3" customWidth="1"/>
    <col min="13571" max="13587" width="9.140625" style="3" customWidth="1"/>
    <col min="13588" max="13823" width="9" style="3"/>
    <col min="13824" max="13824" width="5" style="3" customWidth="1"/>
    <col min="13825" max="13825" width="20.7109375" style="3" customWidth="1"/>
    <col min="13826" max="13826" width="19.140625" style="3" customWidth="1"/>
    <col min="13827" max="13843" width="9.140625" style="3" customWidth="1"/>
    <col min="13844" max="14079" width="9" style="3"/>
    <col min="14080" max="14080" width="5" style="3" customWidth="1"/>
    <col min="14081" max="14081" width="20.7109375" style="3" customWidth="1"/>
    <col min="14082" max="14082" width="19.140625" style="3" customWidth="1"/>
    <col min="14083" max="14099" width="9.140625" style="3" customWidth="1"/>
    <col min="14100" max="14335" width="9" style="3"/>
    <col min="14336" max="14336" width="5" style="3" customWidth="1"/>
    <col min="14337" max="14337" width="20.7109375" style="3" customWidth="1"/>
    <col min="14338" max="14338" width="19.140625" style="3" customWidth="1"/>
    <col min="14339" max="14355" width="9.140625" style="3" customWidth="1"/>
    <col min="14356" max="14591" width="9" style="3"/>
    <col min="14592" max="14592" width="5" style="3" customWidth="1"/>
    <col min="14593" max="14593" width="20.7109375" style="3" customWidth="1"/>
    <col min="14594" max="14594" width="19.140625" style="3" customWidth="1"/>
    <col min="14595" max="14611" width="9.140625" style="3" customWidth="1"/>
    <col min="14612" max="14847" width="9" style="3"/>
    <col min="14848" max="14848" width="5" style="3" customWidth="1"/>
    <col min="14849" max="14849" width="20.7109375" style="3" customWidth="1"/>
    <col min="14850" max="14850" width="19.140625" style="3" customWidth="1"/>
    <col min="14851" max="14867" width="9.140625" style="3" customWidth="1"/>
    <col min="14868" max="15103" width="9" style="3"/>
    <col min="15104" max="15104" width="5" style="3" customWidth="1"/>
    <col min="15105" max="15105" width="20.7109375" style="3" customWidth="1"/>
    <col min="15106" max="15106" width="19.140625" style="3" customWidth="1"/>
    <col min="15107" max="15123" width="9.140625" style="3" customWidth="1"/>
    <col min="15124" max="15359" width="9" style="3"/>
    <col min="15360" max="15360" width="5" style="3" customWidth="1"/>
    <col min="15361" max="15361" width="20.7109375" style="3" customWidth="1"/>
    <col min="15362" max="15362" width="19.140625" style="3" customWidth="1"/>
    <col min="15363" max="15379" width="9.140625" style="3" customWidth="1"/>
    <col min="15380" max="15615" width="9" style="3"/>
    <col min="15616" max="15616" width="5" style="3" customWidth="1"/>
    <col min="15617" max="15617" width="20.7109375" style="3" customWidth="1"/>
    <col min="15618" max="15618" width="19.140625" style="3" customWidth="1"/>
    <col min="15619" max="15635" width="9.140625" style="3" customWidth="1"/>
    <col min="15636" max="15871" width="9" style="3"/>
    <col min="15872" max="15872" width="5" style="3" customWidth="1"/>
    <col min="15873" max="15873" width="20.7109375" style="3" customWidth="1"/>
    <col min="15874" max="15874" width="19.140625" style="3" customWidth="1"/>
    <col min="15875" max="15891" width="9.140625" style="3" customWidth="1"/>
    <col min="15892" max="16127" width="9" style="3"/>
    <col min="16128" max="16128" width="5" style="3" customWidth="1"/>
    <col min="16129" max="16129" width="20.7109375" style="3" customWidth="1"/>
    <col min="16130" max="16130" width="19.140625" style="3" customWidth="1"/>
    <col min="16131" max="16147" width="9.140625" style="3" customWidth="1"/>
    <col min="16148" max="16384" width="9" style="3"/>
  </cols>
  <sheetData>
    <row r="1" spans="1:22" ht="34.5" thickBot="1" x14ac:dyDescent="0.3">
      <c r="A1" s="176" t="s">
        <v>69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8"/>
      <c r="T1" s="1"/>
      <c r="U1" s="1"/>
    </row>
    <row r="2" spans="1:22" ht="179.25" customHeight="1" thickBot="1" x14ac:dyDescent="0.3">
      <c r="A2" s="82" t="s">
        <v>0</v>
      </c>
      <c r="B2" s="5" t="s">
        <v>1</v>
      </c>
      <c r="C2" s="6" t="s">
        <v>2</v>
      </c>
      <c r="D2" s="7" t="s">
        <v>70</v>
      </c>
      <c r="E2" s="8" t="s">
        <v>71</v>
      </c>
      <c r="F2" s="7" t="s">
        <v>79</v>
      </c>
      <c r="G2" s="7" t="s">
        <v>80</v>
      </c>
      <c r="H2" s="7" t="s">
        <v>95</v>
      </c>
      <c r="I2" s="7" t="s">
        <v>94</v>
      </c>
      <c r="J2" s="8" t="s">
        <v>113</v>
      </c>
      <c r="K2" s="8" t="s">
        <v>114</v>
      </c>
      <c r="L2" s="8" t="s">
        <v>144</v>
      </c>
      <c r="M2" s="8" t="s">
        <v>145</v>
      </c>
      <c r="N2" s="8" t="s">
        <v>146</v>
      </c>
      <c r="O2" s="8" t="s">
        <v>148</v>
      </c>
      <c r="P2" s="8" t="s">
        <v>149</v>
      </c>
      <c r="Q2" s="7" t="s">
        <v>170</v>
      </c>
      <c r="R2" s="8" t="s">
        <v>171</v>
      </c>
      <c r="S2" s="9" t="s">
        <v>3</v>
      </c>
      <c r="T2" s="10"/>
      <c r="U2" s="10"/>
    </row>
    <row r="3" spans="1:22" x14ac:dyDescent="0.25">
      <c r="A3" s="80" t="s">
        <v>4</v>
      </c>
      <c r="B3" s="14" t="s">
        <v>38</v>
      </c>
      <c r="C3" s="15" t="s">
        <v>39</v>
      </c>
      <c r="D3" s="131">
        <f>100-(107.181-102.15)/102.15*50</f>
        <v>97.53744493392071</v>
      </c>
      <c r="E3" s="17">
        <f>100-(68.47-68.47)/68.47*50</f>
        <v>100</v>
      </c>
      <c r="F3" s="17">
        <f>100-(33.45-33.45)/33.45*50</f>
        <v>100</v>
      </c>
      <c r="G3" s="17">
        <f>100-(105.97-105.97)/105.97*50</f>
        <v>100</v>
      </c>
      <c r="H3" s="75">
        <f>100-(44.43-44.43)/44.43*50</f>
        <v>100</v>
      </c>
      <c r="I3" s="75">
        <f>100-(99.52-99.52)/99.52*50</f>
        <v>100</v>
      </c>
      <c r="J3" s="131">
        <f>100-(39.3-39.08)/39.08*50</f>
        <v>99.718526100307059</v>
      </c>
      <c r="K3" s="17">
        <f>100-(82.98-82.98)/82.98*50</f>
        <v>100</v>
      </c>
      <c r="L3" s="17"/>
      <c r="M3" s="17"/>
      <c r="N3" s="17"/>
      <c r="O3" s="17">
        <f>100-(45.02-45.02)/45.02*50</f>
        <v>100</v>
      </c>
      <c r="P3" s="136">
        <f>100-(101.18-101.18)/101.18*50</f>
        <v>100</v>
      </c>
      <c r="Q3" s="132">
        <f>100-(48.05-48.05)/48.05*50</f>
        <v>100</v>
      </c>
      <c r="R3" s="132">
        <f>100-(58.05-53.47)/53.47*50</f>
        <v>95.717224611931925</v>
      </c>
      <c r="S3" s="20">
        <f>SUM(D3:R3)-D3-J3-P3-Q3-R3</f>
        <v>700.00000000000011</v>
      </c>
    </row>
    <row r="4" spans="1:22" x14ac:dyDescent="0.25">
      <c r="A4" s="83" t="s">
        <v>6</v>
      </c>
      <c r="B4" s="23" t="s">
        <v>43</v>
      </c>
      <c r="C4" s="24" t="s">
        <v>39</v>
      </c>
      <c r="D4" s="19">
        <f>100-(122.93-102.15)/102.15*50</f>
        <v>89.828683308859524</v>
      </c>
      <c r="E4" s="19">
        <f>100-(83.58-68.47)/68.47*50</f>
        <v>88.965970498028327</v>
      </c>
      <c r="F4" s="21"/>
      <c r="G4" s="21"/>
      <c r="H4" s="133">
        <f>100-(61.22-44.43)/44.43*50</f>
        <v>81.105109160477156</v>
      </c>
      <c r="I4" s="70" t="s">
        <v>12</v>
      </c>
      <c r="J4" s="19">
        <f>100-(41.47-39.08)/39.08*50</f>
        <v>96.942169907881265</v>
      </c>
      <c r="K4" s="130">
        <f>100-(107.18-82.98)/82.98*50</f>
        <v>85.418173053747893</v>
      </c>
      <c r="L4" s="25">
        <f>100-(83.72-83.72)/83.72*50</f>
        <v>100</v>
      </c>
      <c r="M4" s="25">
        <f>100-(32.15-32.15)/32.15*50</f>
        <v>100</v>
      </c>
      <c r="N4" s="25">
        <f>100-(144.72-144.72)/144.72*50</f>
        <v>100</v>
      </c>
      <c r="O4" s="25">
        <f>100-(50.49-45.02)/45.02*50</f>
        <v>93.924922256774764</v>
      </c>
      <c r="P4" s="21"/>
      <c r="Q4" s="132">
        <f>100-(65.53-48.05)/48.05*50</f>
        <v>81.810613943808534</v>
      </c>
      <c r="R4" s="18"/>
      <c r="S4" s="26">
        <f>SUM(D4:R4)-H4-K4-Q4</f>
        <v>669.66174597154384</v>
      </c>
    </row>
    <row r="5" spans="1:22" x14ac:dyDescent="0.25">
      <c r="A5" s="83" t="s">
        <v>8</v>
      </c>
      <c r="B5" s="23" t="s">
        <v>40</v>
      </c>
      <c r="C5" s="24" t="s">
        <v>19</v>
      </c>
      <c r="D5" s="19">
        <f>100-(102.15-102.15)/102.15*50</f>
        <v>100</v>
      </c>
      <c r="E5" s="33"/>
      <c r="F5" s="21"/>
      <c r="G5" s="21"/>
      <c r="H5" s="21"/>
      <c r="I5" s="21"/>
      <c r="J5" s="19">
        <f>100-(39.08-39.08)/39.08*50</f>
        <v>100</v>
      </c>
      <c r="K5" s="76">
        <f>100-(99.85-82.98)/82.98*50</f>
        <v>89.834899975897812</v>
      </c>
      <c r="L5" s="18"/>
      <c r="M5" s="25"/>
      <c r="N5" s="18"/>
      <c r="O5" s="25">
        <f>100-(58.77-45.02)/45.02*50</f>
        <v>84.729009329187022</v>
      </c>
      <c r="P5" s="25">
        <f>100-(123.95-101.18)/101.18*50</f>
        <v>88.747776240363706</v>
      </c>
      <c r="Q5" s="18">
        <f>100-(62.75-48.05)/48.05*50</f>
        <v>84.703433922996879</v>
      </c>
      <c r="R5" s="18">
        <f>100-(76.65-53.47)/53.47*50</f>
        <v>78.324293996633628</v>
      </c>
      <c r="S5" s="26">
        <f t="shared" ref="S5:S10" si="0">SUM(D5:R5)</f>
        <v>626.33941346507902</v>
      </c>
    </row>
    <row r="6" spans="1:22" x14ac:dyDescent="0.25">
      <c r="A6" s="83" t="s">
        <v>11</v>
      </c>
      <c r="B6" s="23" t="s">
        <v>151</v>
      </c>
      <c r="C6" s="97" t="s">
        <v>5</v>
      </c>
      <c r="D6" s="36"/>
      <c r="E6" s="19">
        <f>100-(71.83-68.47)/68.47*50</f>
        <v>97.546370673287569</v>
      </c>
      <c r="F6" s="21"/>
      <c r="G6" s="21"/>
      <c r="H6" s="21"/>
      <c r="I6" s="21"/>
      <c r="J6" s="25"/>
      <c r="K6" s="21"/>
      <c r="L6" s="25"/>
      <c r="M6" s="18"/>
      <c r="N6" s="21"/>
      <c r="O6" s="18">
        <f>100-(48.68-45.02)/45.02*50</f>
        <v>95.935139937805417</v>
      </c>
      <c r="P6" s="18">
        <f>100-(110.35-101.18)/101.18*50</f>
        <v>95.468472030045476</v>
      </c>
      <c r="Q6" s="18">
        <f>100-(61.07-48.05)/48.05*50</f>
        <v>86.451612903225808</v>
      </c>
      <c r="R6" s="18"/>
      <c r="S6" s="26">
        <f t="shared" si="0"/>
        <v>375.40159554436423</v>
      </c>
    </row>
    <row r="7" spans="1:22" x14ac:dyDescent="0.25">
      <c r="A7" s="83" t="s">
        <v>13</v>
      </c>
      <c r="B7" s="23" t="s">
        <v>44</v>
      </c>
      <c r="C7" s="24" t="s">
        <v>17</v>
      </c>
      <c r="D7" s="33"/>
      <c r="E7" s="19">
        <f>100-(81.57-68.47)/68.47*50</f>
        <v>90.433766613115239</v>
      </c>
      <c r="F7" s="21"/>
      <c r="G7" s="21"/>
      <c r="H7" s="21"/>
      <c r="I7" s="21"/>
      <c r="J7" s="18"/>
      <c r="K7" s="25"/>
      <c r="L7" s="25"/>
      <c r="M7" s="25"/>
      <c r="N7" s="21"/>
      <c r="O7" s="57"/>
      <c r="P7" s="57"/>
      <c r="Q7" s="18">
        <f>100-(58.82-48.05)/48.05*50</f>
        <v>88.792924037460978</v>
      </c>
      <c r="R7" s="18">
        <f>100-(53.47-53.47)/53.47*50</f>
        <v>100</v>
      </c>
      <c r="S7" s="26">
        <f t="shared" si="0"/>
        <v>279.22669065057619</v>
      </c>
    </row>
    <row r="8" spans="1:22" x14ac:dyDescent="0.25">
      <c r="A8" s="83" t="s">
        <v>15</v>
      </c>
      <c r="B8" s="23" t="s">
        <v>118</v>
      </c>
      <c r="C8" s="24"/>
      <c r="D8" s="35"/>
      <c r="E8" s="33"/>
      <c r="F8" s="21"/>
      <c r="G8" s="21"/>
      <c r="H8" s="58"/>
      <c r="I8" s="21"/>
      <c r="J8" s="18">
        <f>100-(56.13-39.08)/39.08*50</f>
        <v>78.185772773797339</v>
      </c>
      <c r="K8" s="25">
        <f>100-(137.93-82.98)/82.98*50</f>
        <v>66.889611954687879</v>
      </c>
      <c r="L8" s="18"/>
      <c r="M8" s="25"/>
      <c r="N8" s="57"/>
      <c r="O8" s="57"/>
      <c r="P8" s="25"/>
      <c r="Q8" s="57"/>
      <c r="R8" s="21"/>
      <c r="S8" s="26">
        <f t="shared" si="0"/>
        <v>145.07538472848523</v>
      </c>
    </row>
    <row r="9" spans="1:22" x14ac:dyDescent="0.25">
      <c r="A9" s="83" t="s">
        <v>18</v>
      </c>
      <c r="B9" s="23" t="s">
        <v>45</v>
      </c>
      <c r="C9" s="24" t="s">
        <v>39</v>
      </c>
      <c r="D9" s="19"/>
      <c r="E9" s="25">
        <f>100-(77.02-68.47)/68.47*50</f>
        <v>93.756389659704979</v>
      </c>
      <c r="F9" s="18"/>
      <c r="G9" s="18"/>
      <c r="H9" s="18"/>
      <c r="I9" s="21"/>
      <c r="J9" s="18"/>
      <c r="K9" s="18"/>
      <c r="L9" s="25"/>
      <c r="M9" s="25"/>
      <c r="N9" s="21"/>
      <c r="O9" s="21"/>
      <c r="P9" s="21"/>
      <c r="Q9" s="21"/>
      <c r="R9" s="18"/>
      <c r="S9" s="26">
        <f t="shared" si="0"/>
        <v>93.756389659704979</v>
      </c>
    </row>
    <row r="10" spans="1:22" ht="15.75" thickBot="1" x14ac:dyDescent="0.3">
      <c r="A10" s="84" t="s">
        <v>20</v>
      </c>
      <c r="B10" s="40" t="s">
        <v>41</v>
      </c>
      <c r="C10" s="41" t="s">
        <v>42</v>
      </c>
      <c r="D10" s="129"/>
      <c r="E10" s="46"/>
      <c r="F10" s="43"/>
      <c r="G10" s="43"/>
      <c r="H10" s="43">
        <f>100-(66.35-44.43)/44.43*50</f>
        <v>75.331982894440699</v>
      </c>
      <c r="I10" s="61"/>
      <c r="J10" s="43"/>
      <c r="K10" s="43"/>
      <c r="L10" s="46"/>
      <c r="M10" s="46"/>
      <c r="N10" s="43"/>
      <c r="O10" s="43"/>
      <c r="P10" s="46"/>
      <c r="Q10" s="43"/>
      <c r="R10" s="43"/>
      <c r="S10" s="47">
        <f t="shared" si="0"/>
        <v>75.331982894440699</v>
      </c>
    </row>
    <row r="11" spans="1:22" s="63" customForma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48"/>
      <c r="M11" s="62"/>
      <c r="N11" s="2"/>
      <c r="O11" s="2"/>
      <c r="P11" s="2"/>
      <c r="Q11" s="2"/>
      <c r="R11" s="2"/>
      <c r="S11" s="51"/>
      <c r="T11" s="2"/>
      <c r="U11" s="2"/>
      <c r="V11" s="2"/>
    </row>
    <row r="12" spans="1:22" s="2" customFormat="1" x14ac:dyDescent="0.25">
      <c r="L12" s="48"/>
      <c r="M12" s="62"/>
      <c r="N12" s="48"/>
      <c r="O12" s="48"/>
      <c r="P12" s="48"/>
      <c r="Q12" s="48"/>
      <c r="S12" s="51"/>
    </row>
    <row r="13" spans="1:22" s="2" customFormat="1" x14ac:dyDescent="0.25">
      <c r="S13" s="48"/>
    </row>
    <row r="14" spans="1:22" s="53" customFormat="1" x14ac:dyDescent="0.25">
      <c r="A14" s="53" t="s">
        <v>36</v>
      </c>
    </row>
    <row r="15" spans="1:22" s="54" customFormat="1" x14ac:dyDescent="0.25">
      <c r="A15" s="54" t="s">
        <v>37</v>
      </c>
    </row>
  </sheetData>
  <sortState ref="B3:S10">
    <sortCondition descending="1" ref="S3"/>
  </sortState>
  <mergeCells count="1">
    <mergeCell ref="A1:S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workbookViewId="0">
      <selection activeCell="T13" sqref="T13"/>
    </sheetView>
  </sheetViews>
  <sheetFormatPr defaultColWidth="9" defaultRowHeight="15" x14ac:dyDescent="0.25"/>
  <cols>
    <col min="1" max="1" width="5.140625" style="3" customWidth="1"/>
    <col min="2" max="2" width="20.85546875" style="3" customWidth="1"/>
    <col min="3" max="3" width="9" style="3"/>
    <col min="4" max="7" width="9.140625" style="55" customWidth="1"/>
    <col min="8" max="19" width="9.140625" style="3" customWidth="1"/>
    <col min="20" max="29" width="9" style="2"/>
    <col min="30" max="255" width="9" style="3"/>
    <col min="256" max="256" width="5.140625" style="3" customWidth="1"/>
    <col min="257" max="257" width="20.85546875" style="3" customWidth="1"/>
    <col min="258" max="258" width="9" style="3"/>
    <col min="259" max="275" width="9.140625" style="3" customWidth="1"/>
    <col min="276" max="511" width="9" style="3"/>
    <col min="512" max="512" width="5.140625" style="3" customWidth="1"/>
    <col min="513" max="513" width="20.85546875" style="3" customWidth="1"/>
    <col min="514" max="514" width="9" style="3"/>
    <col min="515" max="531" width="9.140625" style="3" customWidth="1"/>
    <col min="532" max="767" width="9" style="3"/>
    <col min="768" max="768" width="5.140625" style="3" customWidth="1"/>
    <col min="769" max="769" width="20.85546875" style="3" customWidth="1"/>
    <col min="770" max="770" width="9" style="3"/>
    <col min="771" max="787" width="9.140625" style="3" customWidth="1"/>
    <col min="788" max="1023" width="9" style="3"/>
    <col min="1024" max="1024" width="5.140625" style="3" customWidth="1"/>
    <col min="1025" max="1025" width="20.85546875" style="3" customWidth="1"/>
    <col min="1026" max="1026" width="9" style="3"/>
    <col min="1027" max="1043" width="9.140625" style="3" customWidth="1"/>
    <col min="1044" max="1279" width="9" style="3"/>
    <col min="1280" max="1280" width="5.140625" style="3" customWidth="1"/>
    <col min="1281" max="1281" width="20.85546875" style="3" customWidth="1"/>
    <col min="1282" max="1282" width="9" style="3"/>
    <col min="1283" max="1299" width="9.140625" style="3" customWidth="1"/>
    <col min="1300" max="1535" width="9" style="3"/>
    <col min="1536" max="1536" width="5.140625" style="3" customWidth="1"/>
    <col min="1537" max="1537" width="20.85546875" style="3" customWidth="1"/>
    <col min="1538" max="1538" width="9" style="3"/>
    <col min="1539" max="1555" width="9.140625" style="3" customWidth="1"/>
    <col min="1556" max="1791" width="9" style="3"/>
    <col min="1792" max="1792" width="5.140625" style="3" customWidth="1"/>
    <col min="1793" max="1793" width="20.85546875" style="3" customWidth="1"/>
    <col min="1794" max="1794" width="9" style="3"/>
    <col min="1795" max="1811" width="9.140625" style="3" customWidth="1"/>
    <col min="1812" max="2047" width="9" style="3"/>
    <col min="2048" max="2048" width="5.140625" style="3" customWidth="1"/>
    <col min="2049" max="2049" width="20.85546875" style="3" customWidth="1"/>
    <col min="2050" max="2050" width="9" style="3"/>
    <col min="2051" max="2067" width="9.140625" style="3" customWidth="1"/>
    <col min="2068" max="2303" width="9" style="3"/>
    <col min="2304" max="2304" width="5.140625" style="3" customWidth="1"/>
    <col min="2305" max="2305" width="20.85546875" style="3" customWidth="1"/>
    <col min="2306" max="2306" width="9" style="3"/>
    <col min="2307" max="2323" width="9.140625" style="3" customWidth="1"/>
    <col min="2324" max="2559" width="9" style="3"/>
    <col min="2560" max="2560" width="5.140625" style="3" customWidth="1"/>
    <col min="2561" max="2561" width="20.85546875" style="3" customWidth="1"/>
    <col min="2562" max="2562" width="9" style="3"/>
    <col min="2563" max="2579" width="9.140625" style="3" customWidth="1"/>
    <col min="2580" max="2815" width="9" style="3"/>
    <col min="2816" max="2816" width="5.140625" style="3" customWidth="1"/>
    <col min="2817" max="2817" width="20.85546875" style="3" customWidth="1"/>
    <col min="2818" max="2818" width="9" style="3"/>
    <col min="2819" max="2835" width="9.140625" style="3" customWidth="1"/>
    <col min="2836" max="3071" width="9" style="3"/>
    <col min="3072" max="3072" width="5.140625" style="3" customWidth="1"/>
    <col min="3073" max="3073" width="20.85546875" style="3" customWidth="1"/>
    <col min="3074" max="3074" width="9" style="3"/>
    <col min="3075" max="3091" width="9.140625" style="3" customWidth="1"/>
    <col min="3092" max="3327" width="9" style="3"/>
    <col min="3328" max="3328" width="5.140625" style="3" customWidth="1"/>
    <col min="3329" max="3329" width="20.85546875" style="3" customWidth="1"/>
    <col min="3330" max="3330" width="9" style="3"/>
    <col min="3331" max="3347" width="9.140625" style="3" customWidth="1"/>
    <col min="3348" max="3583" width="9" style="3"/>
    <col min="3584" max="3584" width="5.140625" style="3" customWidth="1"/>
    <col min="3585" max="3585" width="20.85546875" style="3" customWidth="1"/>
    <col min="3586" max="3586" width="9" style="3"/>
    <col min="3587" max="3603" width="9.140625" style="3" customWidth="1"/>
    <col min="3604" max="3839" width="9" style="3"/>
    <col min="3840" max="3840" width="5.140625" style="3" customWidth="1"/>
    <col min="3841" max="3841" width="20.85546875" style="3" customWidth="1"/>
    <col min="3842" max="3842" width="9" style="3"/>
    <col min="3843" max="3859" width="9.140625" style="3" customWidth="1"/>
    <col min="3860" max="4095" width="9" style="3"/>
    <col min="4096" max="4096" width="5.140625" style="3" customWidth="1"/>
    <col min="4097" max="4097" width="20.85546875" style="3" customWidth="1"/>
    <col min="4098" max="4098" width="9" style="3"/>
    <col min="4099" max="4115" width="9.140625" style="3" customWidth="1"/>
    <col min="4116" max="4351" width="9" style="3"/>
    <col min="4352" max="4352" width="5.140625" style="3" customWidth="1"/>
    <col min="4353" max="4353" width="20.85546875" style="3" customWidth="1"/>
    <col min="4354" max="4354" width="9" style="3"/>
    <col min="4355" max="4371" width="9.140625" style="3" customWidth="1"/>
    <col min="4372" max="4607" width="9" style="3"/>
    <col min="4608" max="4608" width="5.140625" style="3" customWidth="1"/>
    <col min="4609" max="4609" width="20.85546875" style="3" customWidth="1"/>
    <col min="4610" max="4610" width="9" style="3"/>
    <col min="4611" max="4627" width="9.140625" style="3" customWidth="1"/>
    <col min="4628" max="4863" width="9" style="3"/>
    <col min="4864" max="4864" width="5.140625" style="3" customWidth="1"/>
    <col min="4865" max="4865" width="20.85546875" style="3" customWidth="1"/>
    <col min="4866" max="4866" width="9" style="3"/>
    <col min="4867" max="4883" width="9.140625" style="3" customWidth="1"/>
    <col min="4884" max="5119" width="9" style="3"/>
    <col min="5120" max="5120" width="5.140625" style="3" customWidth="1"/>
    <col min="5121" max="5121" width="20.85546875" style="3" customWidth="1"/>
    <col min="5122" max="5122" width="9" style="3"/>
    <col min="5123" max="5139" width="9.140625" style="3" customWidth="1"/>
    <col min="5140" max="5375" width="9" style="3"/>
    <col min="5376" max="5376" width="5.140625" style="3" customWidth="1"/>
    <col min="5377" max="5377" width="20.85546875" style="3" customWidth="1"/>
    <col min="5378" max="5378" width="9" style="3"/>
    <col min="5379" max="5395" width="9.140625" style="3" customWidth="1"/>
    <col min="5396" max="5631" width="9" style="3"/>
    <col min="5632" max="5632" width="5.140625" style="3" customWidth="1"/>
    <col min="5633" max="5633" width="20.85546875" style="3" customWidth="1"/>
    <col min="5634" max="5634" width="9" style="3"/>
    <col min="5635" max="5651" width="9.140625" style="3" customWidth="1"/>
    <col min="5652" max="5887" width="9" style="3"/>
    <col min="5888" max="5888" width="5.140625" style="3" customWidth="1"/>
    <col min="5889" max="5889" width="20.85546875" style="3" customWidth="1"/>
    <col min="5890" max="5890" width="9" style="3"/>
    <col min="5891" max="5907" width="9.140625" style="3" customWidth="1"/>
    <col min="5908" max="6143" width="9" style="3"/>
    <col min="6144" max="6144" width="5.140625" style="3" customWidth="1"/>
    <col min="6145" max="6145" width="20.85546875" style="3" customWidth="1"/>
    <col min="6146" max="6146" width="9" style="3"/>
    <col min="6147" max="6163" width="9.140625" style="3" customWidth="1"/>
    <col min="6164" max="6399" width="9" style="3"/>
    <col min="6400" max="6400" width="5.140625" style="3" customWidth="1"/>
    <col min="6401" max="6401" width="20.85546875" style="3" customWidth="1"/>
    <col min="6402" max="6402" width="9" style="3"/>
    <col min="6403" max="6419" width="9.140625" style="3" customWidth="1"/>
    <col min="6420" max="6655" width="9" style="3"/>
    <col min="6656" max="6656" width="5.140625" style="3" customWidth="1"/>
    <col min="6657" max="6657" width="20.85546875" style="3" customWidth="1"/>
    <col min="6658" max="6658" width="9" style="3"/>
    <col min="6659" max="6675" width="9.140625" style="3" customWidth="1"/>
    <col min="6676" max="6911" width="9" style="3"/>
    <col min="6912" max="6912" width="5.140625" style="3" customWidth="1"/>
    <col min="6913" max="6913" width="20.85546875" style="3" customWidth="1"/>
    <col min="6914" max="6914" width="9" style="3"/>
    <col min="6915" max="6931" width="9.140625" style="3" customWidth="1"/>
    <col min="6932" max="7167" width="9" style="3"/>
    <col min="7168" max="7168" width="5.140625" style="3" customWidth="1"/>
    <col min="7169" max="7169" width="20.85546875" style="3" customWidth="1"/>
    <col min="7170" max="7170" width="9" style="3"/>
    <col min="7171" max="7187" width="9.140625" style="3" customWidth="1"/>
    <col min="7188" max="7423" width="9" style="3"/>
    <col min="7424" max="7424" width="5.140625" style="3" customWidth="1"/>
    <col min="7425" max="7425" width="20.85546875" style="3" customWidth="1"/>
    <col min="7426" max="7426" width="9" style="3"/>
    <col min="7427" max="7443" width="9.140625" style="3" customWidth="1"/>
    <col min="7444" max="7679" width="9" style="3"/>
    <col min="7680" max="7680" width="5.140625" style="3" customWidth="1"/>
    <col min="7681" max="7681" width="20.85546875" style="3" customWidth="1"/>
    <col min="7682" max="7682" width="9" style="3"/>
    <col min="7683" max="7699" width="9.140625" style="3" customWidth="1"/>
    <col min="7700" max="7935" width="9" style="3"/>
    <col min="7936" max="7936" width="5.140625" style="3" customWidth="1"/>
    <col min="7937" max="7937" width="20.85546875" style="3" customWidth="1"/>
    <col min="7938" max="7938" width="9" style="3"/>
    <col min="7939" max="7955" width="9.140625" style="3" customWidth="1"/>
    <col min="7956" max="8191" width="9" style="3"/>
    <col min="8192" max="8192" width="5.140625" style="3" customWidth="1"/>
    <col min="8193" max="8193" width="20.85546875" style="3" customWidth="1"/>
    <col min="8194" max="8194" width="9" style="3"/>
    <col min="8195" max="8211" width="9.140625" style="3" customWidth="1"/>
    <col min="8212" max="8447" width="9" style="3"/>
    <col min="8448" max="8448" width="5.140625" style="3" customWidth="1"/>
    <col min="8449" max="8449" width="20.85546875" style="3" customWidth="1"/>
    <col min="8450" max="8450" width="9" style="3"/>
    <col min="8451" max="8467" width="9.140625" style="3" customWidth="1"/>
    <col min="8468" max="8703" width="9" style="3"/>
    <col min="8704" max="8704" width="5.140625" style="3" customWidth="1"/>
    <col min="8705" max="8705" width="20.85546875" style="3" customWidth="1"/>
    <col min="8706" max="8706" width="9" style="3"/>
    <col min="8707" max="8723" width="9.140625" style="3" customWidth="1"/>
    <col min="8724" max="8959" width="9" style="3"/>
    <col min="8960" max="8960" width="5.140625" style="3" customWidth="1"/>
    <col min="8961" max="8961" width="20.85546875" style="3" customWidth="1"/>
    <col min="8962" max="8962" width="9" style="3"/>
    <col min="8963" max="8979" width="9.140625" style="3" customWidth="1"/>
    <col min="8980" max="9215" width="9" style="3"/>
    <col min="9216" max="9216" width="5.140625" style="3" customWidth="1"/>
    <col min="9217" max="9217" width="20.85546875" style="3" customWidth="1"/>
    <col min="9218" max="9218" width="9" style="3"/>
    <col min="9219" max="9235" width="9.140625" style="3" customWidth="1"/>
    <col min="9236" max="9471" width="9" style="3"/>
    <col min="9472" max="9472" width="5.140625" style="3" customWidth="1"/>
    <col min="9473" max="9473" width="20.85546875" style="3" customWidth="1"/>
    <col min="9474" max="9474" width="9" style="3"/>
    <col min="9475" max="9491" width="9.140625" style="3" customWidth="1"/>
    <col min="9492" max="9727" width="9" style="3"/>
    <col min="9728" max="9728" width="5.140625" style="3" customWidth="1"/>
    <col min="9729" max="9729" width="20.85546875" style="3" customWidth="1"/>
    <col min="9730" max="9730" width="9" style="3"/>
    <col min="9731" max="9747" width="9.140625" style="3" customWidth="1"/>
    <col min="9748" max="9983" width="9" style="3"/>
    <col min="9984" max="9984" width="5.140625" style="3" customWidth="1"/>
    <col min="9985" max="9985" width="20.85546875" style="3" customWidth="1"/>
    <col min="9986" max="9986" width="9" style="3"/>
    <col min="9987" max="10003" width="9.140625" style="3" customWidth="1"/>
    <col min="10004" max="10239" width="9" style="3"/>
    <col min="10240" max="10240" width="5.140625" style="3" customWidth="1"/>
    <col min="10241" max="10241" width="20.85546875" style="3" customWidth="1"/>
    <col min="10242" max="10242" width="9" style="3"/>
    <col min="10243" max="10259" width="9.140625" style="3" customWidth="1"/>
    <col min="10260" max="10495" width="9" style="3"/>
    <col min="10496" max="10496" width="5.140625" style="3" customWidth="1"/>
    <col min="10497" max="10497" width="20.85546875" style="3" customWidth="1"/>
    <col min="10498" max="10498" width="9" style="3"/>
    <col min="10499" max="10515" width="9.140625" style="3" customWidth="1"/>
    <col min="10516" max="10751" width="9" style="3"/>
    <col min="10752" max="10752" width="5.140625" style="3" customWidth="1"/>
    <col min="10753" max="10753" width="20.85546875" style="3" customWidth="1"/>
    <col min="10754" max="10754" width="9" style="3"/>
    <col min="10755" max="10771" width="9.140625" style="3" customWidth="1"/>
    <col min="10772" max="11007" width="9" style="3"/>
    <col min="11008" max="11008" width="5.140625" style="3" customWidth="1"/>
    <col min="11009" max="11009" width="20.85546875" style="3" customWidth="1"/>
    <col min="11010" max="11010" width="9" style="3"/>
    <col min="11011" max="11027" width="9.140625" style="3" customWidth="1"/>
    <col min="11028" max="11263" width="9" style="3"/>
    <col min="11264" max="11264" width="5.140625" style="3" customWidth="1"/>
    <col min="11265" max="11265" width="20.85546875" style="3" customWidth="1"/>
    <col min="11266" max="11266" width="9" style="3"/>
    <col min="11267" max="11283" width="9.140625" style="3" customWidth="1"/>
    <col min="11284" max="11519" width="9" style="3"/>
    <col min="11520" max="11520" width="5.140625" style="3" customWidth="1"/>
    <col min="11521" max="11521" width="20.85546875" style="3" customWidth="1"/>
    <col min="11522" max="11522" width="9" style="3"/>
    <col min="11523" max="11539" width="9.140625" style="3" customWidth="1"/>
    <col min="11540" max="11775" width="9" style="3"/>
    <col min="11776" max="11776" width="5.140625" style="3" customWidth="1"/>
    <col min="11777" max="11777" width="20.85546875" style="3" customWidth="1"/>
    <col min="11778" max="11778" width="9" style="3"/>
    <col min="11779" max="11795" width="9.140625" style="3" customWidth="1"/>
    <col min="11796" max="12031" width="9" style="3"/>
    <col min="12032" max="12032" width="5.140625" style="3" customWidth="1"/>
    <col min="12033" max="12033" width="20.85546875" style="3" customWidth="1"/>
    <col min="12034" max="12034" width="9" style="3"/>
    <col min="12035" max="12051" width="9.140625" style="3" customWidth="1"/>
    <col min="12052" max="12287" width="9" style="3"/>
    <col min="12288" max="12288" width="5.140625" style="3" customWidth="1"/>
    <col min="12289" max="12289" width="20.85546875" style="3" customWidth="1"/>
    <col min="12290" max="12290" width="9" style="3"/>
    <col min="12291" max="12307" width="9.140625" style="3" customWidth="1"/>
    <col min="12308" max="12543" width="9" style="3"/>
    <col min="12544" max="12544" width="5.140625" style="3" customWidth="1"/>
    <col min="12545" max="12545" width="20.85546875" style="3" customWidth="1"/>
    <col min="12546" max="12546" width="9" style="3"/>
    <col min="12547" max="12563" width="9.140625" style="3" customWidth="1"/>
    <col min="12564" max="12799" width="9" style="3"/>
    <col min="12800" max="12800" width="5.140625" style="3" customWidth="1"/>
    <col min="12801" max="12801" width="20.85546875" style="3" customWidth="1"/>
    <col min="12802" max="12802" width="9" style="3"/>
    <col min="12803" max="12819" width="9.140625" style="3" customWidth="1"/>
    <col min="12820" max="13055" width="9" style="3"/>
    <col min="13056" max="13056" width="5.140625" style="3" customWidth="1"/>
    <col min="13057" max="13057" width="20.85546875" style="3" customWidth="1"/>
    <col min="13058" max="13058" width="9" style="3"/>
    <col min="13059" max="13075" width="9.140625" style="3" customWidth="1"/>
    <col min="13076" max="13311" width="9" style="3"/>
    <col min="13312" max="13312" width="5.140625" style="3" customWidth="1"/>
    <col min="13313" max="13313" width="20.85546875" style="3" customWidth="1"/>
    <col min="13314" max="13314" width="9" style="3"/>
    <col min="13315" max="13331" width="9.140625" style="3" customWidth="1"/>
    <col min="13332" max="13567" width="9" style="3"/>
    <col min="13568" max="13568" width="5.140625" style="3" customWidth="1"/>
    <col min="13569" max="13569" width="20.85546875" style="3" customWidth="1"/>
    <col min="13570" max="13570" width="9" style="3"/>
    <col min="13571" max="13587" width="9.140625" style="3" customWidth="1"/>
    <col min="13588" max="13823" width="9" style="3"/>
    <col min="13824" max="13824" width="5.140625" style="3" customWidth="1"/>
    <col min="13825" max="13825" width="20.85546875" style="3" customWidth="1"/>
    <col min="13826" max="13826" width="9" style="3"/>
    <col min="13827" max="13843" width="9.140625" style="3" customWidth="1"/>
    <col min="13844" max="14079" width="9" style="3"/>
    <col min="14080" max="14080" width="5.140625" style="3" customWidth="1"/>
    <col min="14081" max="14081" width="20.85546875" style="3" customWidth="1"/>
    <col min="14082" max="14082" width="9" style="3"/>
    <col min="14083" max="14099" width="9.140625" style="3" customWidth="1"/>
    <col min="14100" max="14335" width="9" style="3"/>
    <col min="14336" max="14336" width="5.140625" style="3" customWidth="1"/>
    <col min="14337" max="14337" width="20.85546875" style="3" customWidth="1"/>
    <col min="14338" max="14338" width="9" style="3"/>
    <col min="14339" max="14355" width="9.140625" style="3" customWidth="1"/>
    <col min="14356" max="14591" width="9" style="3"/>
    <col min="14592" max="14592" width="5.140625" style="3" customWidth="1"/>
    <col min="14593" max="14593" width="20.85546875" style="3" customWidth="1"/>
    <col min="14594" max="14594" width="9" style="3"/>
    <col min="14595" max="14611" width="9.140625" style="3" customWidth="1"/>
    <col min="14612" max="14847" width="9" style="3"/>
    <col min="14848" max="14848" width="5.140625" style="3" customWidth="1"/>
    <col min="14849" max="14849" width="20.85546875" style="3" customWidth="1"/>
    <col min="14850" max="14850" width="9" style="3"/>
    <col min="14851" max="14867" width="9.140625" style="3" customWidth="1"/>
    <col min="14868" max="15103" width="9" style="3"/>
    <col min="15104" max="15104" width="5.140625" style="3" customWidth="1"/>
    <col min="15105" max="15105" width="20.85546875" style="3" customWidth="1"/>
    <col min="15106" max="15106" width="9" style="3"/>
    <col min="15107" max="15123" width="9.140625" style="3" customWidth="1"/>
    <col min="15124" max="15359" width="9" style="3"/>
    <col min="15360" max="15360" width="5.140625" style="3" customWidth="1"/>
    <col min="15361" max="15361" width="20.85546875" style="3" customWidth="1"/>
    <col min="15362" max="15362" width="9" style="3"/>
    <col min="15363" max="15379" width="9.140625" style="3" customWidth="1"/>
    <col min="15380" max="15615" width="9" style="3"/>
    <col min="15616" max="15616" width="5.140625" style="3" customWidth="1"/>
    <col min="15617" max="15617" width="20.85546875" style="3" customWidth="1"/>
    <col min="15618" max="15618" width="9" style="3"/>
    <col min="15619" max="15635" width="9.140625" style="3" customWidth="1"/>
    <col min="15636" max="15871" width="9" style="3"/>
    <col min="15872" max="15872" width="5.140625" style="3" customWidth="1"/>
    <col min="15873" max="15873" width="20.85546875" style="3" customWidth="1"/>
    <col min="15874" max="15874" width="9" style="3"/>
    <col min="15875" max="15891" width="9.140625" style="3" customWidth="1"/>
    <col min="15892" max="16127" width="9" style="3"/>
    <col min="16128" max="16128" width="5.140625" style="3" customWidth="1"/>
    <col min="16129" max="16129" width="20.85546875" style="3" customWidth="1"/>
    <col min="16130" max="16130" width="9" style="3"/>
    <col min="16131" max="16147" width="9.140625" style="3" customWidth="1"/>
    <col min="16148" max="16384" width="9" style="3"/>
  </cols>
  <sheetData>
    <row r="1" spans="1:29" ht="34.5" thickBot="1" x14ac:dyDescent="0.3">
      <c r="A1" s="176" t="s">
        <v>69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8"/>
      <c r="T1" s="66"/>
      <c r="U1" s="66"/>
    </row>
    <row r="2" spans="1:29" ht="177" customHeight="1" thickBot="1" x14ac:dyDescent="0.3">
      <c r="A2" s="4" t="s">
        <v>0</v>
      </c>
      <c r="B2" s="5" t="s">
        <v>1</v>
      </c>
      <c r="C2" s="6" t="s">
        <v>2</v>
      </c>
      <c r="D2" s="7" t="s">
        <v>70</v>
      </c>
      <c r="E2" s="8" t="s">
        <v>71</v>
      </c>
      <c r="F2" s="7" t="s">
        <v>79</v>
      </c>
      <c r="G2" s="7" t="s">
        <v>80</v>
      </c>
      <c r="H2" s="7" t="s">
        <v>95</v>
      </c>
      <c r="I2" s="7" t="s">
        <v>94</v>
      </c>
      <c r="J2" s="8" t="s">
        <v>113</v>
      </c>
      <c r="K2" s="8" t="s">
        <v>114</v>
      </c>
      <c r="L2" s="8" t="s">
        <v>144</v>
      </c>
      <c r="M2" s="8" t="s">
        <v>145</v>
      </c>
      <c r="N2" s="8" t="s">
        <v>146</v>
      </c>
      <c r="O2" s="8" t="s">
        <v>148</v>
      </c>
      <c r="P2" s="8" t="s">
        <v>149</v>
      </c>
      <c r="Q2" s="7" t="s">
        <v>170</v>
      </c>
      <c r="R2" s="8" t="s">
        <v>171</v>
      </c>
      <c r="S2" s="9" t="s">
        <v>3</v>
      </c>
      <c r="T2" s="10"/>
      <c r="U2" s="10"/>
    </row>
    <row r="3" spans="1:29" ht="15.75" thickBot="1" x14ac:dyDescent="0.3">
      <c r="A3" s="181" t="s">
        <v>4</v>
      </c>
      <c r="B3" s="109" t="s">
        <v>134</v>
      </c>
      <c r="C3" s="110" t="s">
        <v>77</v>
      </c>
      <c r="D3" s="182"/>
      <c r="E3" s="112"/>
      <c r="F3" s="112"/>
      <c r="G3" s="112"/>
      <c r="H3" s="113"/>
      <c r="I3" s="113"/>
      <c r="J3" s="112">
        <f>100-(37.28-37.28)/37.28*50</f>
        <v>100</v>
      </c>
      <c r="K3" s="113"/>
      <c r="L3" s="112"/>
      <c r="M3" s="183"/>
      <c r="N3" s="112"/>
      <c r="O3" s="112"/>
      <c r="P3" s="112"/>
      <c r="Q3" s="112"/>
      <c r="R3" s="112"/>
      <c r="S3" s="115">
        <f>SUM(D3:R3)</f>
        <v>100</v>
      </c>
    </row>
    <row r="4" spans="1:29" s="63" customFormat="1" x14ac:dyDescent="0.25">
      <c r="A4" s="73"/>
      <c r="B4" s="2"/>
      <c r="C4" s="2"/>
      <c r="D4" s="52"/>
      <c r="E4" s="52"/>
      <c r="F4" s="52"/>
      <c r="G4" s="52"/>
      <c r="H4" s="2"/>
      <c r="I4" s="2"/>
      <c r="J4" s="2"/>
      <c r="K4" s="2"/>
      <c r="L4" s="74"/>
      <c r="M4" s="74"/>
      <c r="N4" s="2"/>
      <c r="O4" s="2"/>
      <c r="P4" s="2"/>
      <c r="Q4" s="2"/>
      <c r="R4" s="74"/>
      <c r="S4" s="51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s="2" customFormat="1" x14ac:dyDescent="0.25">
      <c r="A5" s="73"/>
      <c r="D5" s="52"/>
      <c r="E5" s="52"/>
      <c r="F5" s="52"/>
      <c r="G5" s="52"/>
      <c r="L5" s="74"/>
      <c r="M5" s="74"/>
      <c r="R5" s="74"/>
      <c r="S5" s="51"/>
    </row>
    <row r="6" spans="1:29" s="2" customFormat="1" x14ac:dyDescent="0.25">
      <c r="D6" s="52"/>
      <c r="E6" s="52"/>
      <c r="F6" s="52"/>
      <c r="G6" s="52"/>
      <c r="S6" s="48"/>
    </row>
    <row r="7" spans="1:29" s="53" customFormat="1" x14ac:dyDescent="0.25">
      <c r="A7" s="53" t="s">
        <v>36</v>
      </c>
    </row>
    <row r="8" spans="1:29" s="54" customFormat="1" x14ac:dyDescent="0.25">
      <c r="A8" s="54" t="s">
        <v>37</v>
      </c>
    </row>
  </sheetData>
  <mergeCells count="1">
    <mergeCell ref="A1:S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workbookViewId="0">
      <selection activeCell="V11" sqref="V11"/>
    </sheetView>
  </sheetViews>
  <sheetFormatPr defaultColWidth="9" defaultRowHeight="15" x14ac:dyDescent="0.25"/>
  <cols>
    <col min="1" max="1" width="5" style="3" customWidth="1"/>
    <col min="2" max="2" width="20.85546875" style="3" customWidth="1"/>
    <col min="3" max="3" width="9" style="3"/>
    <col min="4" max="7" width="9.140625" style="55" customWidth="1"/>
    <col min="8" max="19" width="9.140625" style="3" customWidth="1"/>
    <col min="20" max="31" width="9" style="2"/>
    <col min="32" max="255" width="9" style="3"/>
    <col min="256" max="256" width="5" style="3" customWidth="1"/>
    <col min="257" max="257" width="20.85546875" style="3" customWidth="1"/>
    <col min="258" max="258" width="9" style="3"/>
    <col min="259" max="275" width="9.140625" style="3" customWidth="1"/>
    <col min="276" max="511" width="9" style="3"/>
    <col min="512" max="512" width="5" style="3" customWidth="1"/>
    <col min="513" max="513" width="20.85546875" style="3" customWidth="1"/>
    <col min="514" max="514" width="9" style="3"/>
    <col min="515" max="531" width="9.140625" style="3" customWidth="1"/>
    <col min="532" max="767" width="9" style="3"/>
    <col min="768" max="768" width="5" style="3" customWidth="1"/>
    <col min="769" max="769" width="20.85546875" style="3" customWidth="1"/>
    <col min="770" max="770" width="9" style="3"/>
    <col min="771" max="787" width="9.140625" style="3" customWidth="1"/>
    <col min="788" max="1023" width="9" style="3"/>
    <col min="1024" max="1024" width="5" style="3" customWidth="1"/>
    <col min="1025" max="1025" width="20.85546875" style="3" customWidth="1"/>
    <col min="1026" max="1026" width="9" style="3"/>
    <col min="1027" max="1043" width="9.140625" style="3" customWidth="1"/>
    <col min="1044" max="1279" width="9" style="3"/>
    <col min="1280" max="1280" width="5" style="3" customWidth="1"/>
    <col min="1281" max="1281" width="20.85546875" style="3" customWidth="1"/>
    <col min="1282" max="1282" width="9" style="3"/>
    <col min="1283" max="1299" width="9.140625" style="3" customWidth="1"/>
    <col min="1300" max="1535" width="9" style="3"/>
    <col min="1536" max="1536" width="5" style="3" customWidth="1"/>
    <col min="1537" max="1537" width="20.85546875" style="3" customWidth="1"/>
    <col min="1538" max="1538" width="9" style="3"/>
    <col min="1539" max="1555" width="9.140625" style="3" customWidth="1"/>
    <col min="1556" max="1791" width="9" style="3"/>
    <col min="1792" max="1792" width="5" style="3" customWidth="1"/>
    <col min="1793" max="1793" width="20.85546875" style="3" customWidth="1"/>
    <col min="1794" max="1794" width="9" style="3"/>
    <col min="1795" max="1811" width="9.140625" style="3" customWidth="1"/>
    <col min="1812" max="2047" width="9" style="3"/>
    <col min="2048" max="2048" width="5" style="3" customWidth="1"/>
    <col min="2049" max="2049" width="20.85546875" style="3" customWidth="1"/>
    <col min="2050" max="2050" width="9" style="3"/>
    <col min="2051" max="2067" width="9.140625" style="3" customWidth="1"/>
    <col min="2068" max="2303" width="9" style="3"/>
    <col min="2304" max="2304" width="5" style="3" customWidth="1"/>
    <col min="2305" max="2305" width="20.85546875" style="3" customWidth="1"/>
    <col min="2306" max="2306" width="9" style="3"/>
    <col min="2307" max="2323" width="9.140625" style="3" customWidth="1"/>
    <col min="2324" max="2559" width="9" style="3"/>
    <col min="2560" max="2560" width="5" style="3" customWidth="1"/>
    <col min="2561" max="2561" width="20.85546875" style="3" customWidth="1"/>
    <col min="2562" max="2562" width="9" style="3"/>
    <col min="2563" max="2579" width="9.140625" style="3" customWidth="1"/>
    <col min="2580" max="2815" width="9" style="3"/>
    <col min="2816" max="2816" width="5" style="3" customWidth="1"/>
    <col min="2817" max="2817" width="20.85546875" style="3" customWidth="1"/>
    <col min="2818" max="2818" width="9" style="3"/>
    <col min="2819" max="2835" width="9.140625" style="3" customWidth="1"/>
    <col min="2836" max="3071" width="9" style="3"/>
    <col min="3072" max="3072" width="5" style="3" customWidth="1"/>
    <col min="3073" max="3073" width="20.85546875" style="3" customWidth="1"/>
    <col min="3074" max="3074" width="9" style="3"/>
    <col min="3075" max="3091" width="9.140625" style="3" customWidth="1"/>
    <col min="3092" max="3327" width="9" style="3"/>
    <col min="3328" max="3328" width="5" style="3" customWidth="1"/>
    <col min="3329" max="3329" width="20.85546875" style="3" customWidth="1"/>
    <col min="3330" max="3330" width="9" style="3"/>
    <col min="3331" max="3347" width="9.140625" style="3" customWidth="1"/>
    <col min="3348" max="3583" width="9" style="3"/>
    <col min="3584" max="3584" width="5" style="3" customWidth="1"/>
    <col min="3585" max="3585" width="20.85546875" style="3" customWidth="1"/>
    <col min="3586" max="3586" width="9" style="3"/>
    <col min="3587" max="3603" width="9.140625" style="3" customWidth="1"/>
    <col min="3604" max="3839" width="9" style="3"/>
    <col min="3840" max="3840" width="5" style="3" customWidth="1"/>
    <col min="3841" max="3841" width="20.85546875" style="3" customWidth="1"/>
    <col min="3842" max="3842" width="9" style="3"/>
    <col min="3843" max="3859" width="9.140625" style="3" customWidth="1"/>
    <col min="3860" max="4095" width="9" style="3"/>
    <col min="4096" max="4096" width="5" style="3" customWidth="1"/>
    <col min="4097" max="4097" width="20.85546875" style="3" customWidth="1"/>
    <col min="4098" max="4098" width="9" style="3"/>
    <col min="4099" max="4115" width="9.140625" style="3" customWidth="1"/>
    <col min="4116" max="4351" width="9" style="3"/>
    <col min="4352" max="4352" width="5" style="3" customWidth="1"/>
    <col min="4353" max="4353" width="20.85546875" style="3" customWidth="1"/>
    <col min="4354" max="4354" width="9" style="3"/>
    <col min="4355" max="4371" width="9.140625" style="3" customWidth="1"/>
    <col min="4372" max="4607" width="9" style="3"/>
    <col min="4608" max="4608" width="5" style="3" customWidth="1"/>
    <col min="4609" max="4609" width="20.85546875" style="3" customWidth="1"/>
    <col min="4610" max="4610" width="9" style="3"/>
    <col min="4611" max="4627" width="9.140625" style="3" customWidth="1"/>
    <col min="4628" max="4863" width="9" style="3"/>
    <col min="4864" max="4864" width="5" style="3" customWidth="1"/>
    <col min="4865" max="4865" width="20.85546875" style="3" customWidth="1"/>
    <col min="4866" max="4866" width="9" style="3"/>
    <col min="4867" max="4883" width="9.140625" style="3" customWidth="1"/>
    <col min="4884" max="5119" width="9" style="3"/>
    <col min="5120" max="5120" width="5" style="3" customWidth="1"/>
    <col min="5121" max="5121" width="20.85546875" style="3" customWidth="1"/>
    <col min="5122" max="5122" width="9" style="3"/>
    <col min="5123" max="5139" width="9.140625" style="3" customWidth="1"/>
    <col min="5140" max="5375" width="9" style="3"/>
    <col min="5376" max="5376" width="5" style="3" customWidth="1"/>
    <col min="5377" max="5377" width="20.85546875" style="3" customWidth="1"/>
    <col min="5378" max="5378" width="9" style="3"/>
    <col min="5379" max="5395" width="9.140625" style="3" customWidth="1"/>
    <col min="5396" max="5631" width="9" style="3"/>
    <col min="5632" max="5632" width="5" style="3" customWidth="1"/>
    <col min="5633" max="5633" width="20.85546875" style="3" customWidth="1"/>
    <col min="5634" max="5634" width="9" style="3"/>
    <col min="5635" max="5651" width="9.140625" style="3" customWidth="1"/>
    <col min="5652" max="5887" width="9" style="3"/>
    <col min="5888" max="5888" width="5" style="3" customWidth="1"/>
    <col min="5889" max="5889" width="20.85546875" style="3" customWidth="1"/>
    <col min="5890" max="5890" width="9" style="3"/>
    <col min="5891" max="5907" width="9.140625" style="3" customWidth="1"/>
    <col min="5908" max="6143" width="9" style="3"/>
    <col min="6144" max="6144" width="5" style="3" customWidth="1"/>
    <col min="6145" max="6145" width="20.85546875" style="3" customWidth="1"/>
    <col min="6146" max="6146" width="9" style="3"/>
    <col min="6147" max="6163" width="9.140625" style="3" customWidth="1"/>
    <col min="6164" max="6399" width="9" style="3"/>
    <col min="6400" max="6400" width="5" style="3" customWidth="1"/>
    <col min="6401" max="6401" width="20.85546875" style="3" customWidth="1"/>
    <col min="6402" max="6402" width="9" style="3"/>
    <col min="6403" max="6419" width="9.140625" style="3" customWidth="1"/>
    <col min="6420" max="6655" width="9" style="3"/>
    <col min="6656" max="6656" width="5" style="3" customWidth="1"/>
    <col min="6657" max="6657" width="20.85546875" style="3" customWidth="1"/>
    <col min="6658" max="6658" width="9" style="3"/>
    <col min="6659" max="6675" width="9.140625" style="3" customWidth="1"/>
    <col min="6676" max="6911" width="9" style="3"/>
    <col min="6912" max="6912" width="5" style="3" customWidth="1"/>
    <col min="6913" max="6913" width="20.85546875" style="3" customWidth="1"/>
    <col min="6914" max="6914" width="9" style="3"/>
    <col min="6915" max="6931" width="9.140625" style="3" customWidth="1"/>
    <col min="6932" max="7167" width="9" style="3"/>
    <col min="7168" max="7168" width="5" style="3" customWidth="1"/>
    <col min="7169" max="7169" width="20.85546875" style="3" customWidth="1"/>
    <col min="7170" max="7170" width="9" style="3"/>
    <col min="7171" max="7187" width="9.140625" style="3" customWidth="1"/>
    <col min="7188" max="7423" width="9" style="3"/>
    <col min="7424" max="7424" width="5" style="3" customWidth="1"/>
    <col min="7425" max="7425" width="20.85546875" style="3" customWidth="1"/>
    <col min="7426" max="7426" width="9" style="3"/>
    <col min="7427" max="7443" width="9.140625" style="3" customWidth="1"/>
    <col min="7444" max="7679" width="9" style="3"/>
    <col min="7680" max="7680" width="5" style="3" customWidth="1"/>
    <col min="7681" max="7681" width="20.85546875" style="3" customWidth="1"/>
    <col min="7682" max="7682" width="9" style="3"/>
    <col min="7683" max="7699" width="9.140625" style="3" customWidth="1"/>
    <col min="7700" max="7935" width="9" style="3"/>
    <col min="7936" max="7936" width="5" style="3" customWidth="1"/>
    <col min="7937" max="7937" width="20.85546875" style="3" customWidth="1"/>
    <col min="7938" max="7938" width="9" style="3"/>
    <col min="7939" max="7955" width="9.140625" style="3" customWidth="1"/>
    <col min="7956" max="8191" width="9" style="3"/>
    <col min="8192" max="8192" width="5" style="3" customWidth="1"/>
    <col min="8193" max="8193" width="20.85546875" style="3" customWidth="1"/>
    <col min="8194" max="8194" width="9" style="3"/>
    <col min="8195" max="8211" width="9.140625" style="3" customWidth="1"/>
    <col min="8212" max="8447" width="9" style="3"/>
    <col min="8448" max="8448" width="5" style="3" customWidth="1"/>
    <col min="8449" max="8449" width="20.85546875" style="3" customWidth="1"/>
    <col min="8450" max="8450" width="9" style="3"/>
    <col min="8451" max="8467" width="9.140625" style="3" customWidth="1"/>
    <col min="8468" max="8703" width="9" style="3"/>
    <col min="8704" max="8704" width="5" style="3" customWidth="1"/>
    <col min="8705" max="8705" width="20.85546875" style="3" customWidth="1"/>
    <col min="8706" max="8706" width="9" style="3"/>
    <col min="8707" max="8723" width="9.140625" style="3" customWidth="1"/>
    <col min="8724" max="8959" width="9" style="3"/>
    <col min="8960" max="8960" width="5" style="3" customWidth="1"/>
    <col min="8961" max="8961" width="20.85546875" style="3" customWidth="1"/>
    <col min="8962" max="8962" width="9" style="3"/>
    <col min="8963" max="8979" width="9.140625" style="3" customWidth="1"/>
    <col min="8980" max="9215" width="9" style="3"/>
    <col min="9216" max="9216" width="5" style="3" customWidth="1"/>
    <col min="9217" max="9217" width="20.85546875" style="3" customWidth="1"/>
    <col min="9218" max="9218" width="9" style="3"/>
    <col min="9219" max="9235" width="9.140625" style="3" customWidth="1"/>
    <col min="9236" max="9471" width="9" style="3"/>
    <col min="9472" max="9472" width="5" style="3" customWidth="1"/>
    <col min="9473" max="9473" width="20.85546875" style="3" customWidth="1"/>
    <col min="9474" max="9474" width="9" style="3"/>
    <col min="9475" max="9491" width="9.140625" style="3" customWidth="1"/>
    <col min="9492" max="9727" width="9" style="3"/>
    <col min="9728" max="9728" width="5" style="3" customWidth="1"/>
    <col min="9729" max="9729" width="20.85546875" style="3" customWidth="1"/>
    <col min="9730" max="9730" width="9" style="3"/>
    <col min="9731" max="9747" width="9.140625" style="3" customWidth="1"/>
    <col min="9748" max="9983" width="9" style="3"/>
    <col min="9984" max="9984" width="5" style="3" customWidth="1"/>
    <col min="9985" max="9985" width="20.85546875" style="3" customWidth="1"/>
    <col min="9986" max="9986" width="9" style="3"/>
    <col min="9987" max="10003" width="9.140625" style="3" customWidth="1"/>
    <col min="10004" max="10239" width="9" style="3"/>
    <col min="10240" max="10240" width="5" style="3" customWidth="1"/>
    <col min="10241" max="10241" width="20.85546875" style="3" customWidth="1"/>
    <col min="10242" max="10242" width="9" style="3"/>
    <col min="10243" max="10259" width="9.140625" style="3" customWidth="1"/>
    <col min="10260" max="10495" width="9" style="3"/>
    <col min="10496" max="10496" width="5" style="3" customWidth="1"/>
    <col min="10497" max="10497" width="20.85546875" style="3" customWidth="1"/>
    <col min="10498" max="10498" width="9" style="3"/>
    <col min="10499" max="10515" width="9.140625" style="3" customWidth="1"/>
    <col min="10516" max="10751" width="9" style="3"/>
    <col min="10752" max="10752" width="5" style="3" customWidth="1"/>
    <col min="10753" max="10753" width="20.85546875" style="3" customWidth="1"/>
    <col min="10754" max="10754" width="9" style="3"/>
    <col min="10755" max="10771" width="9.140625" style="3" customWidth="1"/>
    <col min="10772" max="11007" width="9" style="3"/>
    <col min="11008" max="11008" width="5" style="3" customWidth="1"/>
    <col min="11009" max="11009" width="20.85546875" style="3" customWidth="1"/>
    <col min="11010" max="11010" width="9" style="3"/>
    <col min="11011" max="11027" width="9.140625" style="3" customWidth="1"/>
    <col min="11028" max="11263" width="9" style="3"/>
    <col min="11264" max="11264" width="5" style="3" customWidth="1"/>
    <col min="11265" max="11265" width="20.85546875" style="3" customWidth="1"/>
    <col min="11266" max="11266" width="9" style="3"/>
    <col min="11267" max="11283" width="9.140625" style="3" customWidth="1"/>
    <col min="11284" max="11519" width="9" style="3"/>
    <col min="11520" max="11520" width="5" style="3" customWidth="1"/>
    <col min="11521" max="11521" width="20.85546875" style="3" customWidth="1"/>
    <col min="11522" max="11522" width="9" style="3"/>
    <col min="11523" max="11539" width="9.140625" style="3" customWidth="1"/>
    <col min="11540" max="11775" width="9" style="3"/>
    <col min="11776" max="11776" width="5" style="3" customWidth="1"/>
    <col min="11777" max="11777" width="20.85546875" style="3" customWidth="1"/>
    <col min="11778" max="11778" width="9" style="3"/>
    <col min="11779" max="11795" width="9.140625" style="3" customWidth="1"/>
    <col min="11796" max="12031" width="9" style="3"/>
    <col min="12032" max="12032" width="5" style="3" customWidth="1"/>
    <col min="12033" max="12033" width="20.85546875" style="3" customWidth="1"/>
    <col min="12034" max="12034" width="9" style="3"/>
    <col min="12035" max="12051" width="9.140625" style="3" customWidth="1"/>
    <col min="12052" max="12287" width="9" style="3"/>
    <col min="12288" max="12288" width="5" style="3" customWidth="1"/>
    <col min="12289" max="12289" width="20.85546875" style="3" customWidth="1"/>
    <col min="12290" max="12290" width="9" style="3"/>
    <col min="12291" max="12307" width="9.140625" style="3" customWidth="1"/>
    <col min="12308" max="12543" width="9" style="3"/>
    <col min="12544" max="12544" width="5" style="3" customWidth="1"/>
    <col min="12545" max="12545" width="20.85546875" style="3" customWidth="1"/>
    <col min="12546" max="12546" width="9" style="3"/>
    <col min="12547" max="12563" width="9.140625" style="3" customWidth="1"/>
    <col min="12564" max="12799" width="9" style="3"/>
    <col min="12800" max="12800" width="5" style="3" customWidth="1"/>
    <col min="12801" max="12801" width="20.85546875" style="3" customWidth="1"/>
    <col min="12802" max="12802" width="9" style="3"/>
    <col min="12803" max="12819" width="9.140625" style="3" customWidth="1"/>
    <col min="12820" max="13055" width="9" style="3"/>
    <col min="13056" max="13056" width="5" style="3" customWidth="1"/>
    <col min="13057" max="13057" width="20.85546875" style="3" customWidth="1"/>
    <col min="13058" max="13058" width="9" style="3"/>
    <col min="13059" max="13075" width="9.140625" style="3" customWidth="1"/>
    <col min="13076" max="13311" width="9" style="3"/>
    <col min="13312" max="13312" width="5" style="3" customWidth="1"/>
    <col min="13313" max="13313" width="20.85546875" style="3" customWidth="1"/>
    <col min="13314" max="13314" width="9" style="3"/>
    <col min="13315" max="13331" width="9.140625" style="3" customWidth="1"/>
    <col min="13332" max="13567" width="9" style="3"/>
    <col min="13568" max="13568" width="5" style="3" customWidth="1"/>
    <col min="13569" max="13569" width="20.85546875" style="3" customWidth="1"/>
    <col min="13570" max="13570" width="9" style="3"/>
    <col min="13571" max="13587" width="9.140625" style="3" customWidth="1"/>
    <col min="13588" max="13823" width="9" style="3"/>
    <col min="13824" max="13824" width="5" style="3" customWidth="1"/>
    <col min="13825" max="13825" width="20.85546875" style="3" customWidth="1"/>
    <col min="13826" max="13826" width="9" style="3"/>
    <col min="13827" max="13843" width="9.140625" style="3" customWidth="1"/>
    <col min="13844" max="14079" width="9" style="3"/>
    <col min="14080" max="14080" width="5" style="3" customWidth="1"/>
    <col min="14081" max="14081" width="20.85546875" style="3" customWidth="1"/>
    <col min="14082" max="14082" width="9" style="3"/>
    <col min="14083" max="14099" width="9.140625" style="3" customWidth="1"/>
    <col min="14100" max="14335" width="9" style="3"/>
    <col min="14336" max="14336" width="5" style="3" customWidth="1"/>
    <col min="14337" max="14337" width="20.85546875" style="3" customWidth="1"/>
    <col min="14338" max="14338" width="9" style="3"/>
    <col min="14339" max="14355" width="9.140625" style="3" customWidth="1"/>
    <col min="14356" max="14591" width="9" style="3"/>
    <col min="14592" max="14592" width="5" style="3" customWidth="1"/>
    <col min="14593" max="14593" width="20.85546875" style="3" customWidth="1"/>
    <col min="14594" max="14594" width="9" style="3"/>
    <col min="14595" max="14611" width="9.140625" style="3" customWidth="1"/>
    <col min="14612" max="14847" width="9" style="3"/>
    <col min="14848" max="14848" width="5" style="3" customWidth="1"/>
    <col min="14849" max="14849" width="20.85546875" style="3" customWidth="1"/>
    <col min="14850" max="14850" width="9" style="3"/>
    <col min="14851" max="14867" width="9.140625" style="3" customWidth="1"/>
    <col min="14868" max="15103" width="9" style="3"/>
    <col min="15104" max="15104" width="5" style="3" customWidth="1"/>
    <col min="15105" max="15105" width="20.85546875" style="3" customWidth="1"/>
    <col min="15106" max="15106" width="9" style="3"/>
    <col min="15107" max="15123" width="9.140625" style="3" customWidth="1"/>
    <col min="15124" max="15359" width="9" style="3"/>
    <col min="15360" max="15360" width="5" style="3" customWidth="1"/>
    <col min="15361" max="15361" width="20.85546875" style="3" customWidth="1"/>
    <col min="15362" max="15362" width="9" style="3"/>
    <col min="15363" max="15379" width="9.140625" style="3" customWidth="1"/>
    <col min="15380" max="15615" width="9" style="3"/>
    <col min="15616" max="15616" width="5" style="3" customWidth="1"/>
    <col min="15617" max="15617" width="20.85546875" style="3" customWidth="1"/>
    <col min="15618" max="15618" width="9" style="3"/>
    <col min="15619" max="15635" width="9.140625" style="3" customWidth="1"/>
    <col min="15636" max="15871" width="9" style="3"/>
    <col min="15872" max="15872" width="5" style="3" customWidth="1"/>
    <col min="15873" max="15873" width="20.85546875" style="3" customWidth="1"/>
    <col min="15874" max="15874" width="9" style="3"/>
    <col min="15875" max="15891" width="9.140625" style="3" customWidth="1"/>
    <col min="15892" max="16127" width="9" style="3"/>
    <col min="16128" max="16128" width="5" style="3" customWidth="1"/>
    <col min="16129" max="16129" width="20.85546875" style="3" customWidth="1"/>
    <col min="16130" max="16130" width="9" style="3"/>
    <col min="16131" max="16147" width="9.140625" style="3" customWidth="1"/>
    <col min="16148" max="16384" width="9" style="3"/>
  </cols>
  <sheetData>
    <row r="1" spans="1:21" ht="34.5" thickBot="1" x14ac:dyDescent="0.3">
      <c r="A1" s="176" t="s">
        <v>69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8"/>
      <c r="T1" s="1"/>
      <c r="U1" s="1"/>
    </row>
    <row r="2" spans="1:21" ht="179.25" customHeight="1" thickBot="1" x14ac:dyDescent="0.3">
      <c r="A2" s="82" t="s">
        <v>0</v>
      </c>
      <c r="B2" s="5" t="s">
        <v>1</v>
      </c>
      <c r="C2" s="6" t="s">
        <v>2</v>
      </c>
      <c r="D2" s="7" t="s">
        <v>70</v>
      </c>
      <c r="E2" s="8" t="s">
        <v>98</v>
      </c>
      <c r="F2" s="7" t="s">
        <v>99</v>
      </c>
      <c r="G2" s="7" t="s">
        <v>80</v>
      </c>
      <c r="H2" s="7" t="s">
        <v>95</v>
      </c>
      <c r="I2" s="7" t="s">
        <v>94</v>
      </c>
      <c r="J2" s="8" t="s">
        <v>123</v>
      </c>
      <c r="K2" s="8" t="s">
        <v>114</v>
      </c>
      <c r="L2" s="8" t="s">
        <v>144</v>
      </c>
      <c r="M2" s="8" t="s">
        <v>145</v>
      </c>
      <c r="N2" s="8" t="s">
        <v>146</v>
      </c>
      <c r="O2" s="8" t="s">
        <v>148</v>
      </c>
      <c r="P2" s="8" t="s">
        <v>149</v>
      </c>
      <c r="Q2" s="7" t="s">
        <v>170</v>
      </c>
      <c r="R2" s="8" t="s">
        <v>171</v>
      </c>
      <c r="S2" s="9" t="s">
        <v>3</v>
      </c>
      <c r="T2" s="10"/>
      <c r="U2" s="10"/>
    </row>
    <row r="3" spans="1:21" x14ac:dyDescent="0.25">
      <c r="A3" s="123" t="s">
        <v>4</v>
      </c>
      <c r="B3" s="14" t="s">
        <v>181</v>
      </c>
      <c r="C3" s="15" t="s">
        <v>84</v>
      </c>
      <c r="D3" s="138"/>
      <c r="E3" s="17"/>
      <c r="F3" s="17"/>
      <c r="G3" s="17"/>
      <c r="H3" s="17">
        <f>100-(38.98-35.03)/35.03*50</f>
        <v>94.361975449614619</v>
      </c>
      <c r="I3" s="17">
        <f>100-(48.13-48.13)/48.13*50</f>
        <v>100</v>
      </c>
      <c r="J3" s="56"/>
      <c r="K3" s="56"/>
      <c r="L3" s="17"/>
      <c r="M3" s="56"/>
      <c r="N3" s="17"/>
      <c r="O3" s="17"/>
      <c r="P3" s="17"/>
      <c r="Q3" s="17">
        <f>100-(65.63-65.63)/65.63*50</f>
        <v>100</v>
      </c>
      <c r="R3" s="154">
        <f>100-(62.22-62.22)/62.22*50</f>
        <v>100</v>
      </c>
      <c r="S3" s="69">
        <f t="shared" ref="S3:S14" si="0">SUM(D3:R3)</f>
        <v>394.36197544961465</v>
      </c>
    </row>
    <row r="4" spans="1:21" x14ac:dyDescent="0.25">
      <c r="A4" s="83" t="s">
        <v>6</v>
      </c>
      <c r="B4" s="23" t="s">
        <v>97</v>
      </c>
      <c r="C4" s="24" t="s">
        <v>25</v>
      </c>
      <c r="D4" s="139"/>
      <c r="E4" s="18"/>
      <c r="F4" s="18"/>
      <c r="G4" s="18"/>
      <c r="H4" s="25">
        <f>100-(35.03-35.03)/35.03*50</f>
        <v>100</v>
      </c>
      <c r="I4" s="25">
        <f>100-(66.27-48.13)/48.13*50</f>
        <v>81.155204654061919</v>
      </c>
      <c r="J4" s="25">
        <f>100-(17.42-17.08)/17.08*50</f>
        <v>99.004683840749408</v>
      </c>
      <c r="K4" s="25">
        <f>100-(31.35-25.07)/25.07*50</f>
        <v>87.47506980454726</v>
      </c>
      <c r="L4" s="18"/>
      <c r="M4" s="21"/>
      <c r="N4" s="18"/>
      <c r="O4" s="18"/>
      <c r="P4" s="18"/>
      <c r="Q4" s="18"/>
      <c r="R4" s="24"/>
      <c r="S4" s="69">
        <f t="shared" si="0"/>
        <v>367.63495829935857</v>
      </c>
    </row>
    <row r="5" spans="1:21" x14ac:dyDescent="0.25">
      <c r="A5" s="83" t="s">
        <v>8</v>
      </c>
      <c r="B5" s="23" t="s">
        <v>155</v>
      </c>
      <c r="C5" s="24" t="s">
        <v>42</v>
      </c>
      <c r="D5" s="139"/>
      <c r="E5" s="18"/>
      <c r="F5" s="18"/>
      <c r="G5" s="18"/>
      <c r="H5" s="25">
        <f>100-(60.77-35.03)/35.03*50</f>
        <v>63.260062803311442</v>
      </c>
      <c r="I5" s="57"/>
      <c r="J5" s="25">
        <f>100-(40.48-17.08)/17.08*50</f>
        <v>31.498829039812648</v>
      </c>
      <c r="K5" s="18">
        <f>100-(51.23-25.07)/25.07*50</f>
        <v>47.826086956521749</v>
      </c>
      <c r="L5" s="106" t="s">
        <v>12</v>
      </c>
      <c r="M5" s="106" t="s">
        <v>12</v>
      </c>
      <c r="N5" s="106" t="s">
        <v>12</v>
      </c>
      <c r="O5" s="18">
        <f>100-(57.6-32.38)/32.38*50</f>
        <v>61.056207535515753</v>
      </c>
      <c r="P5" s="18"/>
      <c r="Q5" s="18">
        <f>100-(109.85-65.63)/65.63*50</f>
        <v>66.311138198994371</v>
      </c>
      <c r="R5" s="155">
        <f>100-(81.12-62.22)/62.22*50</f>
        <v>84.811957569913204</v>
      </c>
      <c r="S5" s="69">
        <f t="shared" si="0"/>
        <v>354.7642821040692</v>
      </c>
    </row>
    <row r="6" spans="1:21" x14ac:dyDescent="0.25">
      <c r="A6" s="83" t="s">
        <v>11</v>
      </c>
      <c r="B6" s="23" t="s">
        <v>119</v>
      </c>
      <c r="C6" s="24" t="s">
        <v>120</v>
      </c>
      <c r="D6" s="139"/>
      <c r="E6" s="18"/>
      <c r="F6" s="18"/>
      <c r="G6" s="18"/>
      <c r="H6" s="57"/>
      <c r="I6" s="57"/>
      <c r="J6" s="25">
        <f>100-(17.08-17.08)/17.08*50</f>
        <v>100</v>
      </c>
      <c r="K6" s="25">
        <f>100-(25.07-25.07)/25.07*50</f>
        <v>100</v>
      </c>
      <c r="L6" s="18"/>
      <c r="M6" s="21"/>
      <c r="N6" s="18"/>
      <c r="O6" s="18"/>
      <c r="P6" s="18"/>
      <c r="Q6" s="18"/>
      <c r="R6" s="24"/>
      <c r="S6" s="69">
        <f t="shared" si="0"/>
        <v>200</v>
      </c>
    </row>
    <row r="7" spans="1:21" x14ac:dyDescent="0.25">
      <c r="A7" s="83" t="s">
        <v>11</v>
      </c>
      <c r="B7" s="23" t="s">
        <v>152</v>
      </c>
      <c r="C7" s="24" t="s">
        <v>19</v>
      </c>
      <c r="D7" s="139"/>
      <c r="E7" s="18"/>
      <c r="F7" s="18"/>
      <c r="G7" s="18"/>
      <c r="H7" s="57"/>
      <c r="I7" s="57"/>
      <c r="J7" s="25"/>
      <c r="K7" s="21"/>
      <c r="L7" s="18"/>
      <c r="M7" s="21"/>
      <c r="N7" s="18"/>
      <c r="O7" s="18">
        <f>100-(32.38-32.38)/32.38*50</f>
        <v>100</v>
      </c>
      <c r="P7" s="18">
        <f>100-(58.73-58.73)/58.73*50</f>
        <v>100</v>
      </c>
      <c r="Q7" s="18"/>
      <c r="R7" s="24"/>
      <c r="S7" s="69">
        <f t="shared" si="0"/>
        <v>200</v>
      </c>
    </row>
    <row r="8" spans="1:21" x14ac:dyDescent="0.25">
      <c r="A8" s="83" t="s">
        <v>15</v>
      </c>
      <c r="B8" s="23" t="s">
        <v>138</v>
      </c>
      <c r="C8" s="24" t="s">
        <v>19</v>
      </c>
      <c r="D8" s="139"/>
      <c r="E8" s="18"/>
      <c r="F8" s="18"/>
      <c r="G8" s="18"/>
      <c r="H8" s="57"/>
      <c r="I8" s="57"/>
      <c r="J8" s="57"/>
      <c r="K8" s="18">
        <f>100-(54.33-25.07)/25.07*50</f>
        <v>41.643398484244123</v>
      </c>
      <c r="L8" s="18"/>
      <c r="M8" s="21"/>
      <c r="N8" s="18"/>
      <c r="O8" s="18">
        <f>100-(54.47-32.38)/32.38*50</f>
        <v>65.889437924644852</v>
      </c>
      <c r="P8" s="18">
        <f>100-(77.53-58.73)/58.73*50</f>
        <v>83.994551336625221</v>
      </c>
      <c r="Q8" s="18"/>
      <c r="R8" s="24"/>
      <c r="S8" s="69">
        <f t="shared" si="0"/>
        <v>191.5273877455142</v>
      </c>
    </row>
    <row r="9" spans="1:21" x14ac:dyDescent="0.25">
      <c r="A9" s="83" t="s">
        <v>18</v>
      </c>
      <c r="B9" s="23" t="s">
        <v>76</v>
      </c>
      <c r="C9" s="24" t="s">
        <v>77</v>
      </c>
      <c r="D9" s="139"/>
      <c r="E9" s="18">
        <f>100-(94.37-75.27)/75.27*50</f>
        <v>87.312342234622022</v>
      </c>
      <c r="F9" s="18"/>
      <c r="G9" s="18"/>
      <c r="H9" s="57"/>
      <c r="I9" s="57"/>
      <c r="J9" s="18">
        <f>100-(19.32-17.08)/17.08*50</f>
        <v>93.442622950819668</v>
      </c>
      <c r="K9" s="57"/>
      <c r="L9" s="18"/>
      <c r="M9" s="18"/>
      <c r="N9" s="18"/>
      <c r="O9" s="21"/>
      <c r="P9" s="18"/>
      <c r="Q9" s="21"/>
      <c r="R9" s="24"/>
      <c r="S9" s="69">
        <f t="shared" si="0"/>
        <v>180.75496518544168</v>
      </c>
    </row>
    <row r="10" spans="1:21" x14ac:dyDescent="0.25">
      <c r="A10" s="83" t="s">
        <v>20</v>
      </c>
      <c r="B10" s="23" t="s">
        <v>75</v>
      </c>
      <c r="C10" s="24" t="s">
        <v>77</v>
      </c>
      <c r="D10" s="139"/>
      <c r="E10" s="18">
        <f>100-(75.27-75.27)/75.27*50</f>
        <v>100</v>
      </c>
      <c r="F10" s="18"/>
      <c r="G10" s="18"/>
      <c r="H10" s="57"/>
      <c r="I10" s="57"/>
      <c r="J10" s="25">
        <f>100-(30.22-17.08)/17.08*50</f>
        <v>61.53395784543325</v>
      </c>
      <c r="K10" s="57"/>
      <c r="L10" s="18"/>
      <c r="M10" s="21"/>
      <c r="N10" s="18"/>
      <c r="O10" s="18"/>
      <c r="P10" s="18"/>
      <c r="Q10" s="18"/>
      <c r="R10" s="24"/>
      <c r="S10" s="69">
        <f t="shared" si="0"/>
        <v>161.53395784543324</v>
      </c>
    </row>
    <row r="11" spans="1:21" x14ac:dyDescent="0.25">
      <c r="A11" s="83" t="s">
        <v>23</v>
      </c>
      <c r="B11" s="23" t="s">
        <v>165</v>
      </c>
      <c r="C11" s="24" t="s">
        <v>19</v>
      </c>
      <c r="D11" s="139"/>
      <c r="E11" s="18"/>
      <c r="F11" s="18"/>
      <c r="G11" s="18"/>
      <c r="H11" s="57"/>
      <c r="I11" s="57"/>
      <c r="J11" s="25"/>
      <c r="K11" s="57"/>
      <c r="L11" s="18"/>
      <c r="M11" s="21"/>
      <c r="N11" s="18"/>
      <c r="O11" s="18"/>
      <c r="P11" s="18">
        <f>100-(62.93-58.73)/58.73*50</f>
        <v>96.424314660309889</v>
      </c>
      <c r="Q11" s="18"/>
      <c r="R11" s="24"/>
      <c r="S11" s="69">
        <f t="shared" si="0"/>
        <v>96.424314660309889</v>
      </c>
    </row>
    <row r="12" spans="1:21" x14ac:dyDescent="0.25">
      <c r="A12" s="83" t="s">
        <v>26</v>
      </c>
      <c r="B12" s="23" t="s">
        <v>121</v>
      </c>
      <c r="C12" s="24" t="s">
        <v>77</v>
      </c>
      <c r="D12" s="139"/>
      <c r="E12" s="18"/>
      <c r="F12" s="18"/>
      <c r="G12" s="18"/>
      <c r="H12" s="57"/>
      <c r="I12" s="57"/>
      <c r="J12" s="25">
        <f>100-(20.85-17.08)/17.08*50</f>
        <v>88.963700234192032</v>
      </c>
      <c r="K12" s="57"/>
      <c r="L12" s="18"/>
      <c r="M12" s="21"/>
      <c r="N12" s="18"/>
      <c r="O12" s="18"/>
      <c r="P12" s="18"/>
      <c r="Q12" s="18"/>
      <c r="R12" s="24"/>
      <c r="S12" s="69">
        <f t="shared" si="0"/>
        <v>88.963700234192032</v>
      </c>
    </row>
    <row r="13" spans="1:21" x14ac:dyDescent="0.25">
      <c r="A13" s="83" t="s">
        <v>27</v>
      </c>
      <c r="B13" s="23" t="s">
        <v>122</v>
      </c>
      <c r="C13" s="24" t="s">
        <v>77</v>
      </c>
      <c r="D13" s="139"/>
      <c r="E13" s="18"/>
      <c r="F13" s="18"/>
      <c r="G13" s="18"/>
      <c r="H13" s="57"/>
      <c r="I13" s="21"/>
      <c r="J13" s="25">
        <f>100-(25-17.08)/17.08*50</f>
        <v>76.814988290398119</v>
      </c>
      <c r="K13" s="21"/>
      <c r="L13" s="18"/>
      <c r="M13" s="21"/>
      <c r="N13" s="18"/>
      <c r="O13" s="18"/>
      <c r="P13" s="18"/>
      <c r="Q13" s="18"/>
      <c r="R13" s="24"/>
      <c r="S13" s="69">
        <f t="shared" si="0"/>
        <v>76.814988290398119</v>
      </c>
    </row>
    <row r="14" spans="1:21" ht="15.75" thickBot="1" x14ac:dyDescent="0.3">
      <c r="A14" s="84" t="s">
        <v>29</v>
      </c>
      <c r="B14" s="40" t="s">
        <v>153</v>
      </c>
      <c r="C14" s="41" t="s">
        <v>19</v>
      </c>
      <c r="D14" s="140"/>
      <c r="E14" s="43"/>
      <c r="F14" s="43"/>
      <c r="G14" s="43"/>
      <c r="H14" s="61"/>
      <c r="I14" s="61"/>
      <c r="J14" s="43"/>
      <c r="K14" s="61"/>
      <c r="L14" s="43"/>
      <c r="M14" s="61"/>
      <c r="N14" s="43"/>
      <c r="O14" s="43">
        <f>100-(47.42-32.38)/32.38*50</f>
        <v>76.77578752316245</v>
      </c>
      <c r="P14" s="165" t="s">
        <v>12</v>
      </c>
      <c r="Q14" s="43"/>
      <c r="R14" s="41"/>
      <c r="S14" s="47">
        <f t="shared" si="0"/>
        <v>76.77578752316245</v>
      </c>
    </row>
    <row r="15" spans="1:21" x14ac:dyDescent="0.25">
      <c r="A15" s="78"/>
      <c r="B15" s="2"/>
      <c r="C15" s="2"/>
      <c r="D15" s="52"/>
      <c r="E15" s="52"/>
      <c r="F15" s="52"/>
      <c r="G15" s="5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51"/>
    </row>
    <row r="16" spans="1:21" x14ac:dyDescent="0.25">
      <c r="A16" s="78"/>
      <c r="B16" s="2"/>
      <c r="C16" s="2"/>
      <c r="D16" s="52"/>
      <c r="E16" s="52"/>
      <c r="F16" s="52"/>
      <c r="G16" s="5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51"/>
    </row>
    <row r="17" spans="1:19" x14ac:dyDescent="0.25">
      <c r="A17" s="2"/>
      <c r="B17" s="2"/>
      <c r="C17" s="2"/>
      <c r="D17" s="52"/>
      <c r="E17" s="52"/>
      <c r="F17" s="52"/>
      <c r="G17" s="5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48"/>
    </row>
    <row r="18" spans="1:19" s="53" customFormat="1" x14ac:dyDescent="0.25">
      <c r="A18" s="53" t="s">
        <v>36</v>
      </c>
    </row>
    <row r="19" spans="1:19" s="54" customFormat="1" x14ac:dyDescent="0.25">
      <c r="A19" s="54" t="s">
        <v>37</v>
      </c>
    </row>
  </sheetData>
  <sortState ref="B3:S14">
    <sortCondition descending="1" ref="S3"/>
  </sortState>
  <mergeCells count="1">
    <mergeCell ref="A1:S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"/>
  <sheetViews>
    <sheetView workbookViewId="0">
      <selection activeCell="I14" sqref="I14"/>
    </sheetView>
  </sheetViews>
  <sheetFormatPr defaultColWidth="9" defaultRowHeight="15" x14ac:dyDescent="0.25"/>
  <cols>
    <col min="1" max="1" width="5.28515625" style="3" customWidth="1"/>
    <col min="2" max="2" width="20.5703125" style="3" customWidth="1"/>
    <col min="3" max="3" width="17.85546875" style="3" customWidth="1"/>
    <col min="4" max="5" width="9.140625" style="3" customWidth="1"/>
    <col min="6" max="7" width="9.140625" style="55" customWidth="1"/>
    <col min="8" max="19" width="9.140625" style="3" customWidth="1"/>
    <col min="20" max="28" width="9" style="2"/>
    <col min="29" max="255" width="9" style="3"/>
    <col min="256" max="256" width="5.28515625" style="3" customWidth="1"/>
    <col min="257" max="257" width="20.5703125" style="3" customWidth="1"/>
    <col min="258" max="258" width="16.140625" style="3" customWidth="1"/>
    <col min="259" max="275" width="9.140625" style="3" customWidth="1"/>
    <col min="276" max="511" width="9" style="3"/>
    <col min="512" max="512" width="5.28515625" style="3" customWidth="1"/>
    <col min="513" max="513" width="20.5703125" style="3" customWidth="1"/>
    <col min="514" max="514" width="16.140625" style="3" customWidth="1"/>
    <col min="515" max="531" width="9.140625" style="3" customWidth="1"/>
    <col min="532" max="767" width="9" style="3"/>
    <col min="768" max="768" width="5.28515625" style="3" customWidth="1"/>
    <col min="769" max="769" width="20.5703125" style="3" customWidth="1"/>
    <col min="770" max="770" width="16.140625" style="3" customWidth="1"/>
    <col min="771" max="787" width="9.140625" style="3" customWidth="1"/>
    <col min="788" max="1023" width="9" style="3"/>
    <col min="1024" max="1024" width="5.28515625" style="3" customWidth="1"/>
    <col min="1025" max="1025" width="20.5703125" style="3" customWidth="1"/>
    <col min="1026" max="1026" width="16.140625" style="3" customWidth="1"/>
    <col min="1027" max="1043" width="9.140625" style="3" customWidth="1"/>
    <col min="1044" max="1279" width="9" style="3"/>
    <col min="1280" max="1280" width="5.28515625" style="3" customWidth="1"/>
    <col min="1281" max="1281" width="20.5703125" style="3" customWidth="1"/>
    <col min="1282" max="1282" width="16.140625" style="3" customWidth="1"/>
    <col min="1283" max="1299" width="9.140625" style="3" customWidth="1"/>
    <col min="1300" max="1535" width="9" style="3"/>
    <col min="1536" max="1536" width="5.28515625" style="3" customWidth="1"/>
    <col min="1537" max="1537" width="20.5703125" style="3" customWidth="1"/>
    <col min="1538" max="1538" width="16.140625" style="3" customWidth="1"/>
    <col min="1539" max="1555" width="9.140625" style="3" customWidth="1"/>
    <col min="1556" max="1791" width="9" style="3"/>
    <col min="1792" max="1792" width="5.28515625" style="3" customWidth="1"/>
    <col min="1793" max="1793" width="20.5703125" style="3" customWidth="1"/>
    <col min="1794" max="1794" width="16.140625" style="3" customWidth="1"/>
    <col min="1795" max="1811" width="9.140625" style="3" customWidth="1"/>
    <col min="1812" max="2047" width="9" style="3"/>
    <col min="2048" max="2048" width="5.28515625" style="3" customWidth="1"/>
    <col min="2049" max="2049" width="20.5703125" style="3" customWidth="1"/>
    <col min="2050" max="2050" width="16.140625" style="3" customWidth="1"/>
    <col min="2051" max="2067" width="9.140625" style="3" customWidth="1"/>
    <col min="2068" max="2303" width="9" style="3"/>
    <col min="2304" max="2304" width="5.28515625" style="3" customWidth="1"/>
    <col min="2305" max="2305" width="20.5703125" style="3" customWidth="1"/>
    <col min="2306" max="2306" width="16.140625" style="3" customWidth="1"/>
    <col min="2307" max="2323" width="9.140625" style="3" customWidth="1"/>
    <col min="2324" max="2559" width="9" style="3"/>
    <col min="2560" max="2560" width="5.28515625" style="3" customWidth="1"/>
    <col min="2561" max="2561" width="20.5703125" style="3" customWidth="1"/>
    <col min="2562" max="2562" width="16.140625" style="3" customWidth="1"/>
    <col min="2563" max="2579" width="9.140625" style="3" customWidth="1"/>
    <col min="2580" max="2815" width="9" style="3"/>
    <col min="2816" max="2816" width="5.28515625" style="3" customWidth="1"/>
    <col min="2817" max="2817" width="20.5703125" style="3" customWidth="1"/>
    <col min="2818" max="2818" width="16.140625" style="3" customWidth="1"/>
    <col min="2819" max="2835" width="9.140625" style="3" customWidth="1"/>
    <col min="2836" max="3071" width="9" style="3"/>
    <col min="3072" max="3072" width="5.28515625" style="3" customWidth="1"/>
    <col min="3073" max="3073" width="20.5703125" style="3" customWidth="1"/>
    <col min="3074" max="3074" width="16.140625" style="3" customWidth="1"/>
    <col min="3075" max="3091" width="9.140625" style="3" customWidth="1"/>
    <col min="3092" max="3327" width="9" style="3"/>
    <col min="3328" max="3328" width="5.28515625" style="3" customWidth="1"/>
    <col min="3329" max="3329" width="20.5703125" style="3" customWidth="1"/>
    <col min="3330" max="3330" width="16.140625" style="3" customWidth="1"/>
    <col min="3331" max="3347" width="9.140625" style="3" customWidth="1"/>
    <col min="3348" max="3583" width="9" style="3"/>
    <col min="3584" max="3584" width="5.28515625" style="3" customWidth="1"/>
    <col min="3585" max="3585" width="20.5703125" style="3" customWidth="1"/>
    <col min="3586" max="3586" width="16.140625" style="3" customWidth="1"/>
    <col min="3587" max="3603" width="9.140625" style="3" customWidth="1"/>
    <col min="3604" max="3839" width="9" style="3"/>
    <col min="3840" max="3840" width="5.28515625" style="3" customWidth="1"/>
    <col min="3841" max="3841" width="20.5703125" style="3" customWidth="1"/>
    <col min="3842" max="3842" width="16.140625" style="3" customWidth="1"/>
    <col min="3843" max="3859" width="9.140625" style="3" customWidth="1"/>
    <col min="3860" max="4095" width="9" style="3"/>
    <col min="4096" max="4096" width="5.28515625" style="3" customWidth="1"/>
    <col min="4097" max="4097" width="20.5703125" style="3" customWidth="1"/>
    <col min="4098" max="4098" width="16.140625" style="3" customWidth="1"/>
    <col min="4099" max="4115" width="9.140625" style="3" customWidth="1"/>
    <col min="4116" max="4351" width="9" style="3"/>
    <col min="4352" max="4352" width="5.28515625" style="3" customWidth="1"/>
    <col min="4353" max="4353" width="20.5703125" style="3" customWidth="1"/>
    <col min="4354" max="4354" width="16.140625" style="3" customWidth="1"/>
    <col min="4355" max="4371" width="9.140625" style="3" customWidth="1"/>
    <col min="4372" max="4607" width="9" style="3"/>
    <col min="4608" max="4608" width="5.28515625" style="3" customWidth="1"/>
    <col min="4609" max="4609" width="20.5703125" style="3" customWidth="1"/>
    <col min="4610" max="4610" width="16.140625" style="3" customWidth="1"/>
    <col min="4611" max="4627" width="9.140625" style="3" customWidth="1"/>
    <col min="4628" max="4863" width="9" style="3"/>
    <col min="4864" max="4864" width="5.28515625" style="3" customWidth="1"/>
    <col min="4865" max="4865" width="20.5703125" style="3" customWidth="1"/>
    <col min="4866" max="4866" width="16.140625" style="3" customWidth="1"/>
    <col min="4867" max="4883" width="9.140625" style="3" customWidth="1"/>
    <col min="4884" max="5119" width="9" style="3"/>
    <col min="5120" max="5120" width="5.28515625" style="3" customWidth="1"/>
    <col min="5121" max="5121" width="20.5703125" style="3" customWidth="1"/>
    <col min="5122" max="5122" width="16.140625" style="3" customWidth="1"/>
    <col min="5123" max="5139" width="9.140625" style="3" customWidth="1"/>
    <col min="5140" max="5375" width="9" style="3"/>
    <col min="5376" max="5376" width="5.28515625" style="3" customWidth="1"/>
    <col min="5377" max="5377" width="20.5703125" style="3" customWidth="1"/>
    <col min="5378" max="5378" width="16.140625" style="3" customWidth="1"/>
    <col min="5379" max="5395" width="9.140625" style="3" customWidth="1"/>
    <col min="5396" max="5631" width="9" style="3"/>
    <col min="5632" max="5632" width="5.28515625" style="3" customWidth="1"/>
    <col min="5633" max="5633" width="20.5703125" style="3" customWidth="1"/>
    <col min="5634" max="5634" width="16.140625" style="3" customWidth="1"/>
    <col min="5635" max="5651" width="9.140625" style="3" customWidth="1"/>
    <col min="5652" max="5887" width="9" style="3"/>
    <col min="5888" max="5888" width="5.28515625" style="3" customWidth="1"/>
    <col min="5889" max="5889" width="20.5703125" style="3" customWidth="1"/>
    <col min="5890" max="5890" width="16.140625" style="3" customWidth="1"/>
    <col min="5891" max="5907" width="9.140625" style="3" customWidth="1"/>
    <col min="5908" max="6143" width="9" style="3"/>
    <col min="6144" max="6144" width="5.28515625" style="3" customWidth="1"/>
    <col min="6145" max="6145" width="20.5703125" style="3" customWidth="1"/>
    <col min="6146" max="6146" width="16.140625" style="3" customWidth="1"/>
    <col min="6147" max="6163" width="9.140625" style="3" customWidth="1"/>
    <col min="6164" max="6399" width="9" style="3"/>
    <col min="6400" max="6400" width="5.28515625" style="3" customWidth="1"/>
    <col min="6401" max="6401" width="20.5703125" style="3" customWidth="1"/>
    <col min="6402" max="6402" width="16.140625" style="3" customWidth="1"/>
    <col min="6403" max="6419" width="9.140625" style="3" customWidth="1"/>
    <col min="6420" max="6655" width="9" style="3"/>
    <col min="6656" max="6656" width="5.28515625" style="3" customWidth="1"/>
    <col min="6657" max="6657" width="20.5703125" style="3" customWidth="1"/>
    <col min="6658" max="6658" width="16.140625" style="3" customWidth="1"/>
    <col min="6659" max="6675" width="9.140625" style="3" customWidth="1"/>
    <col min="6676" max="6911" width="9" style="3"/>
    <col min="6912" max="6912" width="5.28515625" style="3" customWidth="1"/>
    <col min="6913" max="6913" width="20.5703125" style="3" customWidth="1"/>
    <col min="6914" max="6914" width="16.140625" style="3" customWidth="1"/>
    <col min="6915" max="6931" width="9.140625" style="3" customWidth="1"/>
    <col min="6932" max="7167" width="9" style="3"/>
    <col min="7168" max="7168" width="5.28515625" style="3" customWidth="1"/>
    <col min="7169" max="7169" width="20.5703125" style="3" customWidth="1"/>
    <col min="7170" max="7170" width="16.140625" style="3" customWidth="1"/>
    <col min="7171" max="7187" width="9.140625" style="3" customWidth="1"/>
    <col min="7188" max="7423" width="9" style="3"/>
    <col min="7424" max="7424" width="5.28515625" style="3" customWidth="1"/>
    <col min="7425" max="7425" width="20.5703125" style="3" customWidth="1"/>
    <col min="7426" max="7426" width="16.140625" style="3" customWidth="1"/>
    <col min="7427" max="7443" width="9.140625" style="3" customWidth="1"/>
    <col min="7444" max="7679" width="9" style="3"/>
    <col min="7680" max="7680" width="5.28515625" style="3" customWidth="1"/>
    <col min="7681" max="7681" width="20.5703125" style="3" customWidth="1"/>
    <col min="7682" max="7682" width="16.140625" style="3" customWidth="1"/>
    <col min="7683" max="7699" width="9.140625" style="3" customWidth="1"/>
    <col min="7700" max="7935" width="9" style="3"/>
    <col min="7936" max="7936" width="5.28515625" style="3" customWidth="1"/>
    <col min="7937" max="7937" width="20.5703125" style="3" customWidth="1"/>
    <col min="7938" max="7938" width="16.140625" style="3" customWidth="1"/>
    <col min="7939" max="7955" width="9.140625" style="3" customWidth="1"/>
    <col min="7956" max="8191" width="9" style="3"/>
    <col min="8192" max="8192" width="5.28515625" style="3" customWidth="1"/>
    <col min="8193" max="8193" width="20.5703125" style="3" customWidth="1"/>
    <col min="8194" max="8194" width="16.140625" style="3" customWidth="1"/>
    <col min="8195" max="8211" width="9.140625" style="3" customWidth="1"/>
    <col min="8212" max="8447" width="9" style="3"/>
    <col min="8448" max="8448" width="5.28515625" style="3" customWidth="1"/>
    <col min="8449" max="8449" width="20.5703125" style="3" customWidth="1"/>
    <col min="8450" max="8450" width="16.140625" style="3" customWidth="1"/>
    <col min="8451" max="8467" width="9.140625" style="3" customWidth="1"/>
    <col min="8468" max="8703" width="9" style="3"/>
    <col min="8704" max="8704" width="5.28515625" style="3" customWidth="1"/>
    <col min="8705" max="8705" width="20.5703125" style="3" customWidth="1"/>
    <col min="8706" max="8706" width="16.140625" style="3" customWidth="1"/>
    <col min="8707" max="8723" width="9.140625" style="3" customWidth="1"/>
    <col min="8724" max="8959" width="9" style="3"/>
    <col min="8960" max="8960" width="5.28515625" style="3" customWidth="1"/>
    <col min="8961" max="8961" width="20.5703125" style="3" customWidth="1"/>
    <col min="8962" max="8962" width="16.140625" style="3" customWidth="1"/>
    <col min="8963" max="8979" width="9.140625" style="3" customWidth="1"/>
    <col min="8980" max="9215" width="9" style="3"/>
    <col min="9216" max="9216" width="5.28515625" style="3" customWidth="1"/>
    <col min="9217" max="9217" width="20.5703125" style="3" customWidth="1"/>
    <col min="9218" max="9218" width="16.140625" style="3" customWidth="1"/>
    <col min="9219" max="9235" width="9.140625" style="3" customWidth="1"/>
    <col min="9236" max="9471" width="9" style="3"/>
    <col min="9472" max="9472" width="5.28515625" style="3" customWidth="1"/>
    <col min="9473" max="9473" width="20.5703125" style="3" customWidth="1"/>
    <col min="9474" max="9474" width="16.140625" style="3" customWidth="1"/>
    <col min="9475" max="9491" width="9.140625" style="3" customWidth="1"/>
    <col min="9492" max="9727" width="9" style="3"/>
    <col min="9728" max="9728" width="5.28515625" style="3" customWidth="1"/>
    <col min="9729" max="9729" width="20.5703125" style="3" customWidth="1"/>
    <col min="9730" max="9730" width="16.140625" style="3" customWidth="1"/>
    <col min="9731" max="9747" width="9.140625" style="3" customWidth="1"/>
    <col min="9748" max="9983" width="9" style="3"/>
    <col min="9984" max="9984" width="5.28515625" style="3" customWidth="1"/>
    <col min="9985" max="9985" width="20.5703125" style="3" customWidth="1"/>
    <col min="9986" max="9986" width="16.140625" style="3" customWidth="1"/>
    <col min="9987" max="10003" width="9.140625" style="3" customWidth="1"/>
    <col min="10004" max="10239" width="9" style="3"/>
    <col min="10240" max="10240" width="5.28515625" style="3" customWidth="1"/>
    <col min="10241" max="10241" width="20.5703125" style="3" customWidth="1"/>
    <col min="10242" max="10242" width="16.140625" style="3" customWidth="1"/>
    <col min="10243" max="10259" width="9.140625" style="3" customWidth="1"/>
    <col min="10260" max="10495" width="9" style="3"/>
    <col min="10496" max="10496" width="5.28515625" style="3" customWidth="1"/>
    <col min="10497" max="10497" width="20.5703125" style="3" customWidth="1"/>
    <col min="10498" max="10498" width="16.140625" style="3" customWidth="1"/>
    <col min="10499" max="10515" width="9.140625" style="3" customWidth="1"/>
    <col min="10516" max="10751" width="9" style="3"/>
    <col min="10752" max="10752" width="5.28515625" style="3" customWidth="1"/>
    <col min="10753" max="10753" width="20.5703125" style="3" customWidth="1"/>
    <col min="10754" max="10754" width="16.140625" style="3" customWidth="1"/>
    <col min="10755" max="10771" width="9.140625" style="3" customWidth="1"/>
    <col min="10772" max="11007" width="9" style="3"/>
    <col min="11008" max="11008" width="5.28515625" style="3" customWidth="1"/>
    <col min="11009" max="11009" width="20.5703125" style="3" customWidth="1"/>
    <col min="11010" max="11010" width="16.140625" style="3" customWidth="1"/>
    <col min="11011" max="11027" width="9.140625" style="3" customWidth="1"/>
    <col min="11028" max="11263" width="9" style="3"/>
    <col min="11264" max="11264" width="5.28515625" style="3" customWidth="1"/>
    <col min="11265" max="11265" width="20.5703125" style="3" customWidth="1"/>
    <col min="11266" max="11266" width="16.140625" style="3" customWidth="1"/>
    <col min="11267" max="11283" width="9.140625" style="3" customWidth="1"/>
    <col min="11284" max="11519" width="9" style="3"/>
    <col min="11520" max="11520" width="5.28515625" style="3" customWidth="1"/>
    <col min="11521" max="11521" width="20.5703125" style="3" customWidth="1"/>
    <col min="11522" max="11522" width="16.140625" style="3" customWidth="1"/>
    <col min="11523" max="11539" width="9.140625" style="3" customWidth="1"/>
    <col min="11540" max="11775" width="9" style="3"/>
    <col min="11776" max="11776" width="5.28515625" style="3" customWidth="1"/>
    <col min="11777" max="11777" width="20.5703125" style="3" customWidth="1"/>
    <col min="11778" max="11778" width="16.140625" style="3" customWidth="1"/>
    <col min="11779" max="11795" width="9.140625" style="3" customWidth="1"/>
    <col min="11796" max="12031" width="9" style="3"/>
    <col min="12032" max="12032" width="5.28515625" style="3" customWidth="1"/>
    <col min="12033" max="12033" width="20.5703125" style="3" customWidth="1"/>
    <col min="12034" max="12034" width="16.140625" style="3" customWidth="1"/>
    <col min="12035" max="12051" width="9.140625" style="3" customWidth="1"/>
    <col min="12052" max="12287" width="9" style="3"/>
    <col min="12288" max="12288" width="5.28515625" style="3" customWidth="1"/>
    <col min="12289" max="12289" width="20.5703125" style="3" customWidth="1"/>
    <col min="12290" max="12290" width="16.140625" style="3" customWidth="1"/>
    <col min="12291" max="12307" width="9.140625" style="3" customWidth="1"/>
    <col min="12308" max="12543" width="9" style="3"/>
    <col min="12544" max="12544" width="5.28515625" style="3" customWidth="1"/>
    <col min="12545" max="12545" width="20.5703125" style="3" customWidth="1"/>
    <col min="12546" max="12546" width="16.140625" style="3" customWidth="1"/>
    <col min="12547" max="12563" width="9.140625" style="3" customWidth="1"/>
    <col min="12564" max="12799" width="9" style="3"/>
    <col min="12800" max="12800" width="5.28515625" style="3" customWidth="1"/>
    <col min="12801" max="12801" width="20.5703125" style="3" customWidth="1"/>
    <col min="12802" max="12802" width="16.140625" style="3" customWidth="1"/>
    <col min="12803" max="12819" width="9.140625" style="3" customWidth="1"/>
    <col min="12820" max="13055" width="9" style="3"/>
    <col min="13056" max="13056" width="5.28515625" style="3" customWidth="1"/>
    <col min="13057" max="13057" width="20.5703125" style="3" customWidth="1"/>
    <col min="13058" max="13058" width="16.140625" style="3" customWidth="1"/>
    <col min="13059" max="13075" width="9.140625" style="3" customWidth="1"/>
    <col min="13076" max="13311" width="9" style="3"/>
    <col min="13312" max="13312" width="5.28515625" style="3" customWidth="1"/>
    <col min="13313" max="13313" width="20.5703125" style="3" customWidth="1"/>
    <col min="13314" max="13314" width="16.140625" style="3" customWidth="1"/>
    <col min="13315" max="13331" width="9.140625" style="3" customWidth="1"/>
    <col min="13332" max="13567" width="9" style="3"/>
    <col min="13568" max="13568" width="5.28515625" style="3" customWidth="1"/>
    <col min="13569" max="13569" width="20.5703125" style="3" customWidth="1"/>
    <col min="13570" max="13570" width="16.140625" style="3" customWidth="1"/>
    <col min="13571" max="13587" width="9.140625" style="3" customWidth="1"/>
    <col min="13588" max="13823" width="9" style="3"/>
    <col min="13824" max="13824" width="5.28515625" style="3" customWidth="1"/>
    <col min="13825" max="13825" width="20.5703125" style="3" customWidth="1"/>
    <col min="13826" max="13826" width="16.140625" style="3" customWidth="1"/>
    <col min="13827" max="13843" width="9.140625" style="3" customWidth="1"/>
    <col min="13844" max="14079" width="9" style="3"/>
    <col min="14080" max="14080" width="5.28515625" style="3" customWidth="1"/>
    <col min="14081" max="14081" width="20.5703125" style="3" customWidth="1"/>
    <col min="14082" max="14082" width="16.140625" style="3" customWidth="1"/>
    <col min="14083" max="14099" width="9.140625" style="3" customWidth="1"/>
    <col min="14100" max="14335" width="9" style="3"/>
    <col min="14336" max="14336" width="5.28515625" style="3" customWidth="1"/>
    <col min="14337" max="14337" width="20.5703125" style="3" customWidth="1"/>
    <col min="14338" max="14338" width="16.140625" style="3" customWidth="1"/>
    <col min="14339" max="14355" width="9.140625" style="3" customWidth="1"/>
    <col min="14356" max="14591" width="9" style="3"/>
    <col min="14592" max="14592" width="5.28515625" style="3" customWidth="1"/>
    <col min="14593" max="14593" width="20.5703125" style="3" customWidth="1"/>
    <col min="14594" max="14594" width="16.140625" style="3" customWidth="1"/>
    <col min="14595" max="14611" width="9.140625" style="3" customWidth="1"/>
    <col min="14612" max="14847" width="9" style="3"/>
    <col min="14848" max="14848" width="5.28515625" style="3" customWidth="1"/>
    <col min="14849" max="14849" width="20.5703125" style="3" customWidth="1"/>
    <col min="14850" max="14850" width="16.140625" style="3" customWidth="1"/>
    <col min="14851" max="14867" width="9.140625" style="3" customWidth="1"/>
    <col min="14868" max="15103" width="9" style="3"/>
    <col min="15104" max="15104" width="5.28515625" style="3" customWidth="1"/>
    <col min="15105" max="15105" width="20.5703125" style="3" customWidth="1"/>
    <col min="15106" max="15106" width="16.140625" style="3" customWidth="1"/>
    <col min="15107" max="15123" width="9.140625" style="3" customWidth="1"/>
    <col min="15124" max="15359" width="9" style="3"/>
    <col min="15360" max="15360" width="5.28515625" style="3" customWidth="1"/>
    <col min="15361" max="15361" width="20.5703125" style="3" customWidth="1"/>
    <col min="15362" max="15362" width="16.140625" style="3" customWidth="1"/>
    <col min="15363" max="15379" width="9.140625" style="3" customWidth="1"/>
    <col min="15380" max="15615" width="9" style="3"/>
    <col min="15616" max="15616" width="5.28515625" style="3" customWidth="1"/>
    <col min="15617" max="15617" width="20.5703125" style="3" customWidth="1"/>
    <col min="15618" max="15618" width="16.140625" style="3" customWidth="1"/>
    <col min="15619" max="15635" width="9.140625" style="3" customWidth="1"/>
    <col min="15636" max="15871" width="9" style="3"/>
    <col min="15872" max="15872" width="5.28515625" style="3" customWidth="1"/>
    <col min="15873" max="15873" width="20.5703125" style="3" customWidth="1"/>
    <col min="15874" max="15874" width="16.140625" style="3" customWidth="1"/>
    <col min="15875" max="15891" width="9.140625" style="3" customWidth="1"/>
    <col min="15892" max="16127" width="9" style="3"/>
    <col min="16128" max="16128" width="5.28515625" style="3" customWidth="1"/>
    <col min="16129" max="16129" width="20.5703125" style="3" customWidth="1"/>
    <col min="16130" max="16130" width="16.140625" style="3" customWidth="1"/>
    <col min="16131" max="16147" width="9.140625" style="3" customWidth="1"/>
    <col min="16148" max="16384" width="9" style="3"/>
  </cols>
  <sheetData>
    <row r="1" spans="1:21" ht="34.5" thickBot="1" x14ac:dyDescent="0.3">
      <c r="A1" s="176" t="s">
        <v>69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8"/>
      <c r="T1" s="1"/>
      <c r="U1" s="1"/>
    </row>
    <row r="2" spans="1:21" ht="180.75" customHeight="1" thickBot="1" x14ac:dyDescent="0.3">
      <c r="A2" s="4" t="s">
        <v>0</v>
      </c>
      <c r="B2" s="5" t="s">
        <v>1</v>
      </c>
      <c r="C2" s="6" t="s">
        <v>2</v>
      </c>
      <c r="D2" s="7" t="s">
        <v>70</v>
      </c>
      <c r="E2" s="8" t="s">
        <v>71</v>
      </c>
      <c r="F2" s="7" t="s">
        <v>110</v>
      </c>
      <c r="G2" s="7" t="s">
        <v>80</v>
      </c>
      <c r="H2" s="7" t="s">
        <v>95</v>
      </c>
      <c r="I2" s="7" t="s">
        <v>94</v>
      </c>
      <c r="J2" s="8" t="s">
        <v>113</v>
      </c>
      <c r="K2" s="8" t="s">
        <v>114</v>
      </c>
      <c r="L2" s="8" t="s">
        <v>144</v>
      </c>
      <c r="M2" s="8" t="s">
        <v>145</v>
      </c>
      <c r="N2" s="8" t="s">
        <v>146</v>
      </c>
      <c r="O2" s="8" t="s">
        <v>148</v>
      </c>
      <c r="P2" s="8" t="s">
        <v>149</v>
      </c>
      <c r="Q2" s="7" t="s">
        <v>170</v>
      </c>
      <c r="R2" s="8" t="s">
        <v>172</v>
      </c>
      <c r="S2" s="9" t="s">
        <v>3</v>
      </c>
      <c r="T2" s="10"/>
      <c r="U2" s="10"/>
    </row>
    <row r="3" spans="1:21" x14ac:dyDescent="0.25">
      <c r="A3" s="80" t="s">
        <v>4</v>
      </c>
      <c r="B3" s="14" t="s">
        <v>44</v>
      </c>
      <c r="C3" s="15" t="s">
        <v>17</v>
      </c>
      <c r="D3" s="75">
        <f>100-(90.6-90.6)/90.6*50</f>
        <v>100</v>
      </c>
      <c r="E3" s="17"/>
      <c r="F3" s="75">
        <f>100-(35.85-35.85)/35.85*50</f>
        <v>100</v>
      </c>
      <c r="G3" s="75">
        <f>100-(47.3-47.3)/47.3*50</f>
        <v>100</v>
      </c>
      <c r="H3" s="75">
        <f>100-(41.9-41.9)/41.9*50</f>
        <v>100</v>
      </c>
      <c r="I3" s="75"/>
      <c r="J3" s="81"/>
      <c r="K3" s="75">
        <f>100-(58.45-58.45)/58.45*50</f>
        <v>100</v>
      </c>
      <c r="L3" s="75"/>
      <c r="M3" s="75"/>
      <c r="N3" s="17"/>
      <c r="O3" s="17">
        <f>100-(21.28-21.28)/21.28*50</f>
        <v>100</v>
      </c>
      <c r="P3" s="17"/>
      <c r="Q3" s="17"/>
      <c r="R3" s="17"/>
      <c r="S3" s="20">
        <f>SUM(D3:R3)</f>
        <v>600</v>
      </c>
    </row>
    <row r="4" spans="1:21" ht="15.75" thickBot="1" x14ac:dyDescent="0.3">
      <c r="A4" s="39" t="s">
        <v>6</v>
      </c>
      <c r="B4" s="40" t="s">
        <v>158</v>
      </c>
      <c r="C4" s="41" t="s">
        <v>19</v>
      </c>
      <c r="D4" s="179"/>
      <c r="E4" s="43"/>
      <c r="F4" s="44"/>
      <c r="G4" s="44"/>
      <c r="H4" s="180"/>
      <c r="I4" s="43"/>
      <c r="J4" s="43"/>
      <c r="K4" s="44"/>
      <c r="L4" s="43"/>
      <c r="M4" s="43"/>
      <c r="N4" s="46"/>
      <c r="O4" s="46">
        <f>100-(46.33-21.28)/21.28*50</f>
        <v>41.141917293233085</v>
      </c>
      <c r="P4" s="46"/>
      <c r="Q4" s="46"/>
      <c r="R4" s="167"/>
      <c r="S4" s="107">
        <f>SUM(D4:R4)</f>
        <v>41.141917293233085</v>
      </c>
    </row>
    <row r="5" spans="1:21" x14ac:dyDescent="0.25">
      <c r="A5" s="2"/>
      <c r="B5" s="2"/>
      <c r="C5" s="2"/>
      <c r="D5" s="2"/>
      <c r="E5" s="2"/>
      <c r="F5" s="52"/>
      <c r="G5" s="52"/>
      <c r="H5" s="2"/>
      <c r="I5" s="2"/>
      <c r="J5" s="2"/>
      <c r="K5" s="2"/>
      <c r="L5" s="2"/>
      <c r="M5" s="2"/>
      <c r="N5" s="2"/>
      <c r="O5" s="2"/>
      <c r="P5" s="2"/>
      <c r="Q5" s="2"/>
      <c r="R5" s="48"/>
      <c r="S5" s="2"/>
    </row>
    <row r="6" spans="1:21" s="53" customFormat="1" x14ac:dyDescent="0.25">
      <c r="A6" s="53" t="s">
        <v>36</v>
      </c>
    </row>
    <row r="7" spans="1:21" s="54" customFormat="1" x14ac:dyDescent="0.25">
      <c r="A7" s="54" t="s">
        <v>37</v>
      </c>
    </row>
  </sheetData>
  <mergeCells count="1">
    <mergeCell ref="A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workbookViewId="0">
      <selection activeCell="S2" sqref="S1:S1048576"/>
    </sheetView>
  </sheetViews>
  <sheetFormatPr defaultColWidth="9" defaultRowHeight="15" x14ac:dyDescent="0.25"/>
  <cols>
    <col min="1" max="1" width="5" style="3" customWidth="1"/>
    <col min="2" max="2" width="20.7109375" style="3" customWidth="1"/>
    <col min="3" max="3" width="17.85546875" style="3" customWidth="1"/>
    <col min="4" max="5" width="9.140625" style="3" customWidth="1"/>
    <col min="6" max="7" width="9.140625" style="55" customWidth="1"/>
    <col min="8" max="19" width="9.140625" style="3" customWidth="1"/>
    <col min="20" max="28" width="9" style="2"/>
    <col min="29" max="255" width="9" style="3"/>
    <col min="256" max="256" width="5" style="3" customWidth="1"/>
    <col min="257" max="257" width="17.5703125" style="3" customWidth="1"/>
    <col min="258" max="258" width="17.85546875" style="3" customWidth="1"/>
    <col min="259" max="275" width="9.140625" style="3" customWidth="1"/>
    <col min="276" max="511" width="9" style="3"/>
    <col min="512" max="512" width="5" style="3" customWidth="1"/>
    <col min="513" max="513" width="17.5703125" style="3" customWidth="1"/>
    <col min="514" max="514" width="17.85546875" style="3" customWidth="1"/>
    <col min="515" max="531" width="9.140625" style="3" customWidth="1"/>
    <col min="532" max="767" width="9" style="3"/>
    <col min="768" max="768" width="5" style="3" customWidth="1"/>
    <col min="769" max="769" width="17.5703125" style="3" customWidth="1"/>
    <col min="770" max="770" width="17.85546875" style="3" customWidth="1"/>
    <col min="771" max="787" width="9.140625" style="3" customWidth="1"/>
    <col min="788" max="1023" width="9" style="3"/>
    <col min="1024" max="1024" width="5" style="3" customWidth="1"/>
    <col min="1025" max="1025" width="17.5703125" style="3" customWidth="1"/>
    <col min="1026" max="1026" width="17.85546875" style="3" customWidth="1"/>
    <col min="1027" max="1043" width="9.140625" style="3" customWidth="1"/>
    <col min="1044" max="1279" width="9" style="3"/>
    <col min="1280" max="1280" width="5" style="3" customWidth="1"/>
    <col min="1281" max="1281" width="17.5703125" style="3" customWidth="1"/>
    <col min="1282" max="1282" width="17.85546875" style="3" customWidth="1"/>
    <col min="1283" max="1299" width="9.140625" style="3" customWidth="1"/>
    <col min="1300" max="1535" width="9" style="3"/>
    <col min="1536" max="1536" width="5" style="3" customWidth="1"/>
    <col min="1537" max="1537" width="17.5703125" style="3" customWidth="1"/>
    <col min="1538" max="1538" width="17.85546875" style="3" customWidth="1"/>
    <col min="1539" max="1555" width="9.140625" style="3" customWidth="1"/>
    <col min="1556" max="1791" width="9" style="3"/>
    <col min="1792" max="1792" width="5" style="3" customWidth="1"/>
    <col min="1793" max="1793" width="17.5703125" style="3" customWidth="1"/>
    <col min="1794" max="1794" width="17.85546875" style="3" customWidth="1"/>
    <col min="1795" max="1811" width="9.140625" style="3" customWidth="1"/>
    <col min="1812" max="2047" width="9" style="3"/>
    <col min="2048" max="2048" width="5" style="3" customWidth="1"/>
    <col min="2049" max="2049" width="17.5703125" style="3" customWidth="1"/>
    <col min="2050" max="2050" width="17.85546875" style="3" customWidth="1"/>
    <col min="2051" max="2067" width="9.140625" style="3" customWidth="1"/>
    <col min="2068" max="2303" width="9" style="3"/>
    <col min="2304" max="2304" width="5" style="3" customWidth="1"/>
    <col min="2305" max="2305" width="17.5703125" style="3" customWidth="1"/>
    <col min="2306" max="2306" width="17.85546875" style="3" customWidth="1"/>
    <col min="2307" max="2323" width="9.140625" style="3" customWidth="1"/>
    <col min="2324" max="2559" width="9" style="3"/>
    <col min="2560" max="2560" width="5" style="3" customWidth="1"/>
    <col min="2561" max="2561" width="17.5703125" style="3" customWidth="1"/>
    <col min="2562" max="2562" width="17.85546875" style="3" customWidth="1"/>
    <col min="2563" max="2579" width="9.140625" style="3" customWidth="1"/>
    <col min="2580" max="2815" width="9" style="3"/>
    <col min="2816" max="2816" width="5" style="3" customWidth="1"/>
    <col min="2817" max="2817" width="17.5703125" style="3" customWidth="1"/>
    <col min="2818" max="2818" width="17.85546875" style="3" customWidth="1"/>
    <col min="2819" max="2835" width="9.140625" style="3" customWidth="1"/>
    <col min="2836" max="3071" width="9" style="3"/>
    <col min="3072" max="3072" width="5" style="3" customWidth="1"/>
    <col min="3073" max="3073" width="17.5703125" style="3" customWidth="1"/>
    <col min="3074" max="3074" width="17.85546875" style="3" customWidth="1"/>
    <col min="3075" max="3091" width="9.140625" style="3" customWidth="1"/>
    <col min="3092" max="3327" width="9" style="3"/>
    <col min="3328" max="3328" width="5" style="3" customWidth="1"/>
    <col min="3329" max="3329" width="17.5703125" style="3" customWidth="1"/>
    <col min="3330" max="3330" width="17.85546875" style="3" customWidth="1"/>
    <col min="3331" max="3347" width="9.140625" style="3" customWidth="1"/>
    <col min="3348" max="3583" width="9" style="3"/>
    <col min="3584" max="3584" width="5" style="3" customWidth="1"/>
    <col min="3585" max="3585" width="17.5703125" style="3" customWidth="1"/>
    <col min="3586" max="3586" width="17.85546875" style="3" customWidth="1"/>
    <col min="3587" max="3603" width="9.140625" style="3" customWidth="1"/>
    <col min="3604" max="3839" width="9" style="3"/>
    <col min="3840" max="3840" width="5" style="3" customWidth="1"/>
    <col min="3841" max="3841" width="17.5703125" style="3" customWidth="1"/>
    <col min="3842" max="3842" width="17.85546875" style="3" customWidth="1"/>
    <col min="3843" max="3859" width="9.140625" style="3" customWidth="1"/>
    <col min="3860" max="4095" width="9" style="3"/>
    <col min="4096" max="4096" width="5" style="3" customWidth="1"/>
    <col min="4097" max="4097" width="17.5703125" style="3" customWidth="1"/>
    <col min="4098" max="4098" width="17.85546875" style="3" customWidth="1"/>
    <col min="4099" max="4115" width="9.140625" style="3" customWidth="1"/>
    <col min="4116" max="4351" width="9" style="3"/>
    <col min="4352" max="4352" width="5" style="3" customWidth="1"/>
    <col min="4353" max="4353" width="17.5703125" style="3" customWidth="1"/>
    <col min="4354" max="4354" width="17.85546875" style="3" customWidth="1"/>
    <col min="4355" max="4371" width="9.140625" style="3" customWidth="1"/>
    <col min="4372" max="4607" width="9" style="3"/>
    <col min="4608" max="4608" width="5" style="3" customWidth="1"/>
    <col min="4609" max="4609" width="17.5703125" style="3" customWidth="1"/>
    <col min="4610" max="4610" width="17.85546875" style="3" customWidth="1"/>
    <col min="4611" max="4627" width="9.140625" style="3" customWidth="1"/>
    <col min="4628" max="4863" width="9" style="3"/>
    <col min="4864" max="4864" width="5" style="3" customWidth="1"/>
    <col min="4865" max="4865" width="17.5703125" style="3" customWidth="1"/>
    <col min="4866" max="4866" width="17.85546875" style="3" customWidth="1"/>
    <col min="4867" max="4883" width="9.140625" style="3" customWidth="1"/>
    <col min="4884" max="5119" width="9" style="3"/>
    <col min="5120" max="5120" width="5" style="3" customWidth="1"/>
    <col min="5121" max="5121" width="17.5703125" style="3" customWidth="1"/>
    <col min="5122" max="5122" width="17.85546875" style="3" customWidth="1"/>
    <col min="5123" max="5139" width="9.140625" style="3" customWidth="1"/>
    <col min="5140" max="5375" width="9" style="3"/>
    <col min="5376" max="5376" width="5" style="3" customWidth="1"/>
    <col min="5377" max="5377" width="17.5703125" style="3" customWidth="1"/>
    <col min="5378" max="5378" width="17.85546875" style="3" customWidth="1"/>
    <col min="5379" max="5395" width="9.140625" style="3" customWidth="1"/>
    <col min="5396" max="5631" width="9" style="3"/>
    <col min="5632" max="5632" width="5" style="3" customWidth="1"/>
    <col min="5633" max="5633" width="17.5703125" style="3" customWidth="1"/>
    <col min="5634" max="5634" width="17.85546875" style="3" customWidth="1"/>
    <col min="5635" max="5651" width="9.140625" style="3" customWidth="1"/>
    <col min="5652" max="5887" width="9" style="3"/>
    <col min="5888" max="5888" width="5" style="3" customWidth="1"/>
    <col min="5889" max="5889" width="17.5703125" style="3" customWidth="1"/>
    <col min="5890" max="5890" width="17.85546875" style="3" customWidth="1"/>
    <col min="5891" max="5907" width="9.140625" style="3" customWidth="1"/>
    <col min="5908" max="6143" width="9" style="3"/>
    <col min="6144" max="6144" width="5" style="3" customWidth="1"/>
    <col min="6145" max="6145" width="17.5703125" style="3" customWidth="1"/>
    <col min="6146" max="6146" width="17.85546875" style="3" customWidth="1"/>
    <col min="6147" max="6163" width="9.140625" style="3" customWidth="1"/>
    <col min="6164" max="6399" width="9" style="3"/>
    <col min="6400" max="6400" width="5" style="3" customWidth="1"/>
    <col min="6401" max="6401" width="17.5703125" style="3" customWidth="1"/>
    <col min="6402" max="6402" width="17.85546875" style="3" customWidth="1"/>
    <col min="6403" max="6419" width="9.140625" style="3" customWidth="1"/>
    <col min="6420" max="6655" width="9" style="3"/>
    <col min="6656" max="6656" width="5" style="3" customWidth="1"/>
    <col min="6657" max="6657" width="17.5703125" style="3" customWidth="1"/>
    <col min="6658" max="6658" width="17.85546875" style="3" customWidth="1"/>
    <col min="6659" max="6675" width="9.140625" style="3" customWidth="1"/>
    <col min="6676" max="6911" width="9" style="3"/>
    <col min="6912" max="6912" width="5" style="3" customWidth="1"/>
    <col min="6913" max="6913" width="17.5703125" style="3" customWidth="1"/>
    <col min="6914" max="6914" width="17.85546875" style="3" customWidth="1"/>
    <col min="6915" max="6931" width="9.140625" style="3" customWidth="1"/>
    <col min="6932" max="7167" width="9" style="3"/>
    <col min="7168" max="7168" width="5" style="3" customWidth="1"/>
    <col min="7169" max="7169" width="17.5703125" style="3" customWidth="1"/>
    <col min="7170" max="7170" width="17.85546875" style="3" customWidth="1"/>
    <col min="7171" max="7187" width="9.140625" style="3" customWidth="1"/>
    <col min="7188" max="7423" width="9" style="3"/>
    <col min="7424" max="7424" width="5" style="3" customWidth="1"/>
    <col min="7425" max="7425" width="17.5703125" style="3" customWidth="1"/>
    <col min="7426" max="7426" width="17.85546875" style="3" customWidth="1"/>
    <col min="7427" max="7443" width="9.140625" style="3" customWidth="1"/>
    <col min="7444" max="7679" width="9" style="3"/>
    <col min="7680" max="7680" width="5" style="3" customWidth="1"/>
    <col min="7681" max="7681" width="17.5703125" style="3" customWidth="1"/>
    <col min="7682" max="7682" width="17.85546875" style="3" customWidth="1"/>
    <col min="7683" max="7699" width="9.140625" style="3" customWidth="1"/>
    <col min="7700" max="7935" width="9" style="3"/>
    <col min="7936" max="7936" width="5" style="3" customWidth="1"/>
    <col min="7937" max="7937" width="17.5703125" style="3" customWidth="1"/>
    <col min="7938" max="7938" width="17.85546875" style="3" customWidth="1"/>
    <col min="7939" max="7955" width="9.140625" style="3" customWidth="1"/>
    <col min="7956" max="8191" width="9" style="3"/>
    <col min="8192" max="8192" width="5" style="3" customWidth="1"/>
    <col min="8193" max="8193" width="17.5703125" style="3" customWidth="1"/>
    <col min="8194" max="8194" width="17.85546875" style="3" customWidth="1"/>
    <col min="8195" max="8211" width="9.140625" style="3" customWidth="1"/>
    <col min="8212" max="8447" width="9" style="3"/>
    <col min="8448" max="8448" width="5" style="3" customWidth="1"/>
    <col min="8449" max="8449" width="17.5703125" style="3" customWidth="1"/>
    <col min="8450" max="8450" width="17.85546875" style="3" customWidth="1"/>
    <col min="8451" max="8467" width="9.140625" style="3" customWidth="1"/>
    <col min="8468" max="8703" width="9" style="3"/>
    <col min="8704" max="8704" width="5" style="3" customWidth="1"/>
    <col min="8705" max="8705" width="17.5703125" style="3" customWidth="1"/>
    <col min="8706" max="8706" width="17.85546875" style="3" customWidth="1"/>
    <col min="8707" max="8723" width="9.140625" style="3" customWidth="1"/>
    <col min="8724" max="8959" width="9" style="3"/>
    <col min="8960" max="8960" width="5" style="3" customWidth="1"/>
    <col min="8961" max="8961" width="17.5703125" style="3" customWidth="1"/>
    <col min="8962" max="8962" width="17.85546875" style="3" customWidth="1"/>
    <col min="8963" max="8979" width="9.140625" style="3" customWidth="1"/>
    <col min="8980" max="9215" width="9" style="3"/>
    <col min="9216" max="9216" width="5" style="3" customWidth="1"/>
    <col min="9217" max="9217" width="17.5703125" style="3" customWidth="1"/>
    <col min="9218" max="9218" width="17.85546875" style="3" customWidth="1"/>
    <col min="9219" max="9235" width="9.140625" style="3" customWidth="1"/>
    <col min="9236" max="9471" width="9" style="3"/>
    <col min="9472" max="9472" width="5" style="3" customWidth="1"/>
    <col min="9473" max="9473" width="17.5703125" style="3" customWidth="1"/>
    <col min="9474" max="9474" width="17.85546875" style="3" customWidth="1"/>
    <col min="9475" max="9491" width="9.140625" style="3" customWidth="1"/>
    <col min="9492" max="9727" width="9" style="3"/>
    <col min="9728" max="9728" width="5" style="3" customWidth="1"/>
    <col min="9729" max="9729" width="17.5703125" style="3" customWidth="1"/>
    <col min="9730" max="9730" width="17.85546875" style="3" customWidth="1"/>
    <col min="9731" max="9747" width="9.140625" style="3" customWidth="1"/>
    <col min="9748" max="9983" width="9" style="3"/>
    <col min="9984" max="9984" width="5" style="3" customWidth="1"/>
    <col min="9985" max="9985" width="17.5703125" style="3" customWidth="1"/>
    <col min="9986" max="9986" width="17.85546875" style="3" customWidth="1"/>
    <col min="9987" max="10003" width="9.140625" style="3" customWidth="1"/>
    <col min="10004" max="10239" width="9" style="3"/>
    <col min="10240" max="10240" width="5" style="3" customWidth="1"/>
    <col min="10241" max="10241" width="17.5703125" style="3" customWidth="1"/>
    <col min="10242" max="10242" width="17.85546875" style="3" customWidth="1"/>
    <col min="10243" max="10259" width="9.140625" style="3" customWidth="1"/>
    <col min="10260" max="10495" width="9" style="3"/>
    <col min="10496" max="10496" width="5" style="3" customWidth="1"/>
    <col min="10497" max="10497" width="17.5703125" style="3" customWidth="1"/>
    <col min="10498" max="10498" width="17.85546875" style="3" customWidth="1"/>
    <col min="10499" max="10515" width="9.140625" style="3" customWidth="1"/>
    <col min="10516" max="10751" width="9" style="3"/>
    <col min="10752" max="10752" width="5" style="3" customWidth="1"/>
    <col min="10753" max="10753" width="17.5703125" style="3" customWidth="1"/>
    <col min="10754" max="10754" width="17.85546875" style="3" customWidth="1"/>
    <col min="10755" max="10771" width="9.140625" style="3" customWidth="1"/>
    <col min="10772" max="11007" width="9" style="3"/>
    <col min="11008" max="11008" width="5" style="3" customWidth="1"/>
    <col min="11009" max="11009" width="17.5703125" style="3" customWidth="1"/>
    <col min="11010" max="11010" width="17.85546875" style="3" customWidth="1"/>
    <col min="11011" max="11027" width="9.140625" style="3" customWidth="1"/>
    <col min="11028" max="11263" width="9" style="3"/>
    <col min="11264" max="11264" width="5" style="3" customWidth="1"/>
    <col min="11265" max="11265" width="17.5703125" style="3" customWidth="1"/>
    <col min="11266" max="11266" width="17.85546875" style="3" customWidth="1"/>
    <col min="11267" max="11283" width="9.140625" style="3" customWidth="1"/>
    <col min="11284" max="11519" width="9" style="3"/>
    <col min="11520" max="11520" width="5" style="3" customWidth="1"/>
    <col min="11521" max="11521" width="17.5703125" style="3" customWidth="1"/>
    <col min="11522" max="11522" width="17.85546875" style="3" customWidth="1"/>
    <col min="11523" max="11539" width="9.140625" style="3" customWidth="1"/>
    <col min="11540" max="11775" width="9" style="3"/>
    <col min="11776" max="11776" width="5" style="3" customWidth="1"/>
    <col min="11777" max="11777" width="17.5703125" style="3" customWidth="1"/>
    <col min="11778" max="11778" width="17.85546875" style="3" customWidth="1"/>
    <col min="11779" max="11795" width="9.140625" style="3" customWidth="1"/>
    <col min="11796" max="12031" width="9" style="3"/>
    <col min="12032" max="12032" width="5" style="3" customWidth="1"/>
    <col min="12033" max="12033" width="17.5703125" style="3" customWidth="1"/>
    <col min="12034" max="12034" width="17.85546875" style="3" customWidth="1"/>
    <col min="12035" max="12051" width="9.140625" style="3" customWidth="1"/>
    <col min="12052" max="12287" width="9" style="3"/>
    <col min="12288" max="12288" width="5" style="3" customWidth="1"/>
    <col min="12289" max="12289" width="17.5703125" style="3" customWidth="1"/>
    <col min="12290" max="12290" width="17.85546875" style="3" customWidth="1"/>
    <col min="12291" max="12307" width="9.140625" style="3" customWidth="1"/>
    <col min="12308" max="12543" width="9" style="3"/>
    <col min="12544" max="12544" width="5" style="3" customWidth="1"/>
    <col min="12545" max="12545" width="17.5703125" style="3" customWidth="1"/>
    <col min="12546" max="12546" width="17.85546875" style="3" customWidth="1"/>
    <col min="12547" max="12563" width="9.140625" style="3" customWidth="1"/>
    <col min="12564" max="12799" width="9" style="3"/>
    <col min="12800" max="12800" width="5" style="3" customWidth="1"/>
    <col min="12801" max="12801" width="17.5703125" style="3" customWidth="1"/>
    <col min="12802" max="12802" width="17.85546875" style="3" customWidth="1"/>
    <col min="12803" max="12819" width="9.140625" style="3" customWidth="1"/>
    <col min="12820" max="13055" width="9" style="3"/>
    <col min="13056" max="13056" width="5" style="3" customWidth="1"/>
    <col min="13057" max="13057" width="17.5703125" style="3" customWidth="1"/>
    <col min="13058" max="13058" width="17.85546875" style="3" customWidth="1"/>
    <col min="13059" max="13075" width="9.140625" style="3" customWidth="1"/>
    <col min="13076" max="13311" width="9" style="3"/>
    <col min="13312" max="13312" width="5" style="3" customWidth="1"/>
    <col min="13313" max="13313" width="17.5703125" style="3" customWidth="1"/>
    <col min="13314" max="13314" width="17.85546875" style="3" customWidth="1"/>
    <col min="13315" max="13331" width="9.140625" style="3" customWidth="1"/>
    <col min="13332" max="13567" width="9" style="3"/>
    <col min="13568" max="13568" width="5" style="3" customWidth="1"/>
    <col min="13569" max="13569" width="17.5703125" style="3" customWidth="1"/>
    <col min="13570" max="13570" width="17.85546875" style="3" customWidth="1"/>
    <col min="13571" max="13587" width="9.140625" style="3" customWidth="1"/>
    <col min="13588" max="13823" width="9" style="3"/>
    <col min="13824" max="13824" width="5" style="3" customWidth="1"/>
    <col min="13825" max="13825" width="17.5703125" style="3" customWidth="1"/>
    <col min="13826" max="13826" width="17.85546875" style="3" customWidth="1"/>
    <col min="13827" max="13843" width="9.140625" style="3" customWidth="1"/>
    <col min="13844" max="14079" width="9" style="3"/>
    <col min="14080" max="14080" width="5" style="3" customWidth="1"/>
    <col min="14081" max="14081" width="17.5703125" style="3" customWidth="1"/>
    <col min="14082" max="14082" width="17.85546875" style="3" customWidth="1"/>
    <col min="14083" max="14099" width="9.140625" style="3" customWidth="1"/>
    <col min="14100" max="14335" width="9" style="3"/>
    <col min="14336" max="14336" width="5" style="3" customWidth="1"/>
    <col min="14337" max="14337" width="17.5703125" style="3" customWidth="1"/>
    <col min="14338" max="14338" width="17.85546875" style="3" customWidth="1"/>
    <col min="14339" max="14355" width="9.140625" style="3" customWidth="1"/>
    <col min="14356" max="14591" width="9" style="3"/>
    <col min="14592" max="14592" width="5" style="3" customWidth="1"/>
    <col min="14593" max="14593" width="17.5703125" style="3" customWidth="1"/>
    <col min="14594" max="14594" width="17.85546875" style="3" customWidth="1"/>
    <col min="14595" max="14611" width="9.140625" style="3" customWidth="1"/>
    <col min="14612" max="14847" width="9" style="3"/>
    <col min="14848" max="14848" width="5" style="3" customWidth="1"/>
    <col min="14849" max="14849" width="17.5703125" style="3" customWidth="1"/>
    <col min="14850" max="14850" width="17.85546875" style="3" customWidth="1"/>
    <col min="14851" max="14867" width="9.140625" style="3" customWidth="1"/>
    <col min="14868" max="15103" width="9" style="3"/>
    <col min="15104" max="15104" width="5" style="3" customWidth="1"/>
    <col min="15105" max="15105" width="17.5703125" style="3" customWidth="1"/>
    <col min="15106" max="15106" width="17.85546875" style="3" customWidth="1"/>
    <col min="15107" max="15123" width="9.140625" style="3" customWidth="1"/>
    <col min="15124" max="15359" width="9" style="3"/>
    <col min="15360" max="15360" width="5" style="3" customWidth="1"/>
    <col min="15361" max="15361" width="17.5703125" style="3" customWidth="1"/>
    <col min="15362" max="15362" width="17.85546875" style="3" customWidth="1"/>
    <col min="15363" max="15379" width="9.140625" style="3" customWidth="1"/>
    <col min="15380" max="15615" width="9" style="3"/>
    <col min="15616" max="15616" width="5" style="3" customWidth="1"/>
    <col min="15617" max="15617" width="17.5703125" style="3" customWidth="1"/>
    <col min="15618" max="15618" width="17.85546875" style="3" customWidth="1"/>
    <col min="15619" max="15635" width="9.140625" style="3" customWidth="1"/>
    <col min="15636" max="15871" width="9" style="3"/>
    <col min="15872" max="15872" width="5" style="3" customWidth="1"/>
    <col min="15873" max="15873" width="17.5703125" style="3" customWidth="1"/>
    <col min="15874" max="15874" width="17.85546875" style="3" customWidth="1"/>
    <col min="15875" max="15891" width="9.140625" style="3" customWidth="1"/>
    <col min="15892" max="16127" width="9" style="3"/>
    <col min="16128" max="16128" width="5" style="3" customWidth="1"/>
    <col min="16129" max="16129" width="17.5703125" style="3" customWidth="1"/>
    <col min="16130" max="16130" width="17.85546875" style="3" customWidth="1"/>
    <col min="16131" max="16147" width="9.140625" style="3" customWidth="1"/>
    <col min="16148" max="16384" width="9" style="3"/>
  </cols>
  <sheetData>
    <row r="1" spans="1:21" ht="34.5" thickBot="1" x14ac:dyDescent="0.3">
      <c r="A1" s="176" t="s">
        <v>69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8"/>
      <c r="T1" s="1"/>
      <c r="U1" s="1"/>
    </row>
    <row r="2" spans="1:21" ht="175.5" customHeight="1" thickBot="1" x14ac:dyDescent="0.3">
      <c r="A2" s="4" t="s">
        <v>0</v>
      </c>
      <c r="B2" s="5" t="s">
        <v>1</v>
      </c>
      <c r="C2" s="6" t="s">
        <v>2</v>
      </c>
      <c r="D2" s="7" t="s">
        <v>70</v>
      </c>
      <c r="E2" s="8" t="s">
        <v>98</v>
      </c>
      <c r="F2" s="7" t="s">
        <v>101</v>
      </c>
      <c r="G2" s="7" t="s">
        <v>80</v>
      </c>
      <c r="H2" s="7" t="s">
        <v>95</v>
      </c>
      <c r="I2" s="7" t="s">
        <v>94</v>
      </c>
      <c r="J2" s="8" t="s">
        <v>113</v>
      </c>
      <c r="K2" s="8" t="s">
        <v>114</v>
      </c>
      <c r="L2" s="8" t="s">
        <v>144</v>
      </c>
      <c r="M2" s="8" t="s">
        <v>145</v>
      </c>
      <c r="N2" s="8" t="s">
        <v>146</v>
      </c>
      <c r="O2" s="8" t="s">
        <v>148</v>
      </c>
      <c r="P2" s="8" t="s">
        <v>149</v>
      </c>
      <c r="Q2" s="7" t="s">
        <v>170</v>
      </c>
      <c r="R2" s="8" t="s">
        <v>171</v>
      </c>
      <c r="S2" s="9" t="s">
        <v>3</v>
      </c>
      <c r="T2" s="10"/>
      <c r="U2" s="10"/>
    </row>
    <row r="3" spans="1:21" x14ac:dyDescent="0.25">
      <c r="A3" s="80" t="s">
        <v>4</v>
      </c>
      <c r="B3" s="14" t="s">
        <v>89</v>
      </c>
      <c r="C3" s="15" t="s">
        <v>84</v>
      </c>
      <c r="D3" s="86"/>
      <c r="E3" s="17"/>
      <c r="F3" s="17"/>
      <c r="G3" s="75">
        <f>100-(72.5-72.5)/72.5*50</f>
        <v>100</v>
      </c>
      <c r="H3" s="75">
        <f>100-(36.22-36.22)/36.22*50</f>
        <v>100</v>
      </c>
      <c r="I3" s="75">
        <f>100-(52.63-52.63)/52.63*50</f>
        <v>100</v>
      </c>
      <c r="J3" s="17"/>
      <c r="K3" s="17"/>
      <c r="L3" s="17"/>
      <c r="M3" s="17"/>
      <c r="N3" s="17"/>
      <c r="O3" s="17"/>
      <c r="P3" s="17"/>
      <c r="Q3" s="17"/>
      <c r="R3" s="17"/>
      <c r="S3" s="20">
        <f>SUM(D3:R3)-K3-L3-M3-N3-O3-Q3</f>
        <v>300</v>
      </c>
    </row>
    <row r="4" spans="1:21" x14ac:dyDescent="0.25">
      <c r="A4" s="83" t="s">
        <v>6</v>
      </c>
      <c r="B4" s="23" t="s">
        <v>100</v>
      </c>
      <c r="C4" s="24" t="s">
        <v>25</v>
      </c>
      <c r="D4" s="23"/>
      <c r="E4" s="21"/>
      <c r="F4" s="38"/>
      <c r="G4" s="18"/>
      <c r="H4" s="18">
        <f>100-(59.02-36.22)/36.22*50</f>
        <v>68.525676421866365</v>
      </c>
      <c r="I4" s="18">
        <f>100-(75.68-52.63)/52.63*50</f>
        <v>78.101843055291653</v>
      </c>
      <c r="J4" s="21"/>
      <c r="K4" s="21"/>
      <c r="L4" s="18"/>
      <c r="M4" s="21"/>
      <c r="N4" s="21"/>
      <c r="O4" s="21"/>
      <c r="P4" s="21"/>
      <c r="Q4" s="21"/>
      <c r="R4" s="21"/>
      <c r="S4" s="26">
        <f t="shared" ref="S4:S10" si="0">SUM(D4:R4)</f>
        <v>146.62751947715802</v>
      </c>
    </row>
    <row r="5" spans="1:21" x14ac:dyDescent="0.25">
      <c r="A5" s="83" t="s">
        <v>8</v>
      </c>
      <c r="B5" s="23" t="s">
        <v>44</v>
      </c>
      <c r="C5" s="24" t="s">
        <v>19</v>
      </c>
      <c r="D5" s="141"/>
      <c r="E5" s="18"/>
      <c r="F5" s="37"/>
      <c r="G5" s="18"/>
      <c r="H5" s="37"/>
      <c r="I5" s="18"/>
      <c r="J5" s="18"/>
      <c r="K5" s="37"/>
      <c r="L5" s="37"/>
      <c r="M5" s="25"/>
      <c r="N5" s="18"/>
      <c r="O5" s="18"/>
      <c r="P5" s="18">
        <f>100-(62.37-62.37)/62.37*50</f>
        <v>100</v>
      </c>
      <c r="Q5" s="18"/>
      <c r="R5" s="18"/>
      <c r="S5" s="26">
        <f t="shared" si="0"/>
        <v>100</v>
      </c>
    </row>
    <row r="6" spans="1:21" x14ac:dyDescent="0.25">
      <c r="A6" s="83" t="s">
        <v>11</v>
      </c>
      <c r="B6" s="23" t="s">
        <v>166</v>
      </c>
      <c r="C6" s="24" t="s">
        <v>19</v>
      </c>
      <c r="D6" s="31"/>
      <c r="E6" s="18"/>
      <c r="F6" s="34"/>
      <c r="G6" s="34"/>
      <c r="H6" s="18"/>
      <c r="I6" s="18"/>
      <c r="J6" s="18"/>
      <c r="K6" s="18"/>
      <c r="L6" s="37"/>
      <c r="M6" s="18"/>
      <c r="N6" s="18"/>
      <c r="O6" s="18"/>
      <c r="P6" s="18">
        <f>100-(81.92-62.37)/62.37*50</f>
        <v>84.327400994067659</v>
      </c>
      <c r="Q6" s="37"/>
      <c r="R6" s="25"/>
      <c r="S6" s="26">
        <f t="shared" si="0"/>
        <v>84.327400994067659</v>
      </c>
    </row>
    <row r="7" spans="1:21" x14ac:dyDescent="0.25">
      <c r="A7" s="83" t="s">
        <v>13</v>
      </c>
      <c r="B7" s="23" t="s">
        <v>168</v>
      </c>
      <c r="C7" s="24" t="s">
        <v>19</v>
      </c>
      <c r="D7" s="31"/>
      <c r="E7" s="18"/>
      <c r="F7" s="34"/>
      <c r="G7" s="34"/>
      <c r="H7" s="18"/>
      <c r="I7" s="18"/>
      <c r="J7" s="18"/>
      <c r="K7" s="18"/>
      <c r="L7" s="37"/>
      <c r="M7" s="18"/>
      <c r="N7" s="18"/>
      <c r="O7" s="18"/>
      <c r="P7" s="18">
        <f>100-(84.93-62.37)/62.37*50</f>
        <v>81.914381914381906</v>
      </c>
      <c r="Q7" s="37"/>
      <c r="R7" s="25"/>
      <c r="S7" s="26">
        <f t="shared" si="0"/>
        <v>81.914381914381906</v>
      </c>
    </row>
    <row r="8" spans="1:21" x14ac:dyDescent="0.25">
      <c r="A8" s="83" t="s">
        <v>15</v>
      </c>
      <c r="B8" s="23" t="s">
        <v>167</v>
      </c>
      <c r="C8" s="24" t="s">
        <v>19</v>
      </c>
      <c r="D8" s="23"/>
      <c r="E8" s="21"/>
      <c r="F8" s="18"/>
      <c r="G8" s="38"/>
      <c r="H8" s="21"/>
      <c r="I8" s="21"/>
      <c r="J8" s="21"/>
      <c r="K8" s="21"/>
      <c r="L8" s="37"/>
      <c r="M8" s="18"/>
      <c r="N8" s="18"/>
      <c r="O8" s="18"/>
      <c r="P8" s="18">
        <f>100-(98-62.37)/62.37*50</f>
        <v>71.436588103254763</v>
      </c>
      <c r="Q8" s="21"/>
      <c r="R8" s="25"/>
      <c r="S8" s="26">
        <f t="shared" si="0"/>
        <v>71.436588103254763</v>
      </c>
    </row>
    <row r="9" spans="1:21" x14ac:dyDescent="0.25">
      <c r="A9" s="83" t="s">
        <v>18</v>
      </c>
      <c r="B9" s="23" t="s">
        <v>154</v>
      </c>
      <c r="C9" s="24" t="s">
        <v>19</v>
      </c>
      <c r="D9" s="23"/>
      <c r="E9" s="21"/>
      <c r="F9" s="18"/>
      <c r="G9" s="18"/>
      <c r="H9" s="21"/>
      <c r="I9" s="21"/>
      <c r="J9" s="21"/>
      <c r="K9" s="21"/>
      <c r="L9" s="21"/>
      <c r="M9" s="18"/>
      <c r="N9" s="18"/>
      <c r="O9" s="18"/>
      <c r="P9" s="18">
        <f>100-(122.9-62.37)/62.37*50</f>
        <v>51.475068141734795</v>
      </c>
      <c r="Q9" s="37"/>
      <c r="R9" s="25"/>
      <c r="S9" s="26">
        <f t="shared" si="0"/>
        <v>51.475068141734795</v>
      </c>
    </row>
    <row r="10" spans="1:21" ht="15.75" thickBot="1" x14ac:dyDescent="0.3">
      <c r="A10" s="84" t="s">
        <v>20</v>
      </c>
      <c r="B10" s="40" t="s">
        <v>158</v>
      </c>
      <c r="C10" s="41" t="s">
        <v>19</v>
      </c>
      <c r="D10" s="143"/>
      <c r="E10" s="43"/>
      <c r="F10" s="44"/>
      <c r="G10" s="44"/>
      <c r="H10" s="43"/>
      <c r="I10" s="43"/>
      <c r="J10" s="43"/>
      <c r="K10" s="43"/>
      <c r="L10" s="129"/>
      <c r="M10" s="43"/>
      <c r="N10" s="43"/>
      <c r="O10" s="43"/>
      <c r="P10" s="43">
        <f>100-(140.67-62.37)/62.37*50</f>
        <v>37.229437229437245</v>
      </c>
      <c r="Q10" s="45"/>
      <c r="R10" s="43"/>
      <c r="S10" s="47">
        <f t="shared" si="0"/>
        <v>37.229437229437245</v>
      </c>
    </row>
    <row r="11" spans="1:21" x14ac:dyDescent="0.25">
      <c r="A11" s="2"/>
      <c r="B11" s="2"/>
      <c r="C11" s="2"/>
      <c r="D11" s="2"/>
      <c r="E11" s="2"/>
      <c r="F11" s="52"/>
      <c r="G11" s="52"/>
      <c r="H11" s="2"/>
      <c r="I11" s="2"/>
      <c r="J11" s="2"/>
      <c r="K11" s="2"/>
      <c r="L11" s="2"/>
      <c r="M11" s="2"/>
      <c r="N11" s="2"/>
      <c r="O11" s="2"/>
      <c r="P11" s="2"/>
      <c r="Q11" s="2"/>
      <c r="R11" s="48"/>
      <c r="S11" s="2"/>
    </row>
    <row r="12" spans="1:21" s="53" customFormat="1" x14ac:dyDescent="0.25">
      <c r="A12" s="53" t="s">
        <v>36</v>
      </c>
    </row>
    <row r="13" spans="1:21" s="54" customFormat="1" x14ac:dyDescent="0.25">
      <c r="A13" s="54" t="s">
        <v>37</v>
      </c>
    </row>
  </sheetData>
  <sortState ref="B3:T10">
    <sortCondition descending="1" ref="S3"/>
  </sortState>
  <mergeCells count="1">
    <mergeCell ref="A1:S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workbookViewId="0">
      <selection activeCell="R13" sqref="R13"/>
    </sheetView>
  </sheetViews>
  <sheetFormatPr defaultColWidth="9" defaultRowHeight="15" x14ac:dyDescent="0.25"/>
  <cols>
    <col min="1" max="1" width="5.140625" style="3" customWidth="1"/>
    <col min="2" max="2" width="19" style="3" customWidth="1"/>
    <col min="3" max="3" width="15.42578125" style="3" customWidth="1"/>
    <col min="4" max="5" width="9.140625" style="3" customWidth="1"/>
    <col min="6" max="6" width="9.140625" style="55" customWidth="1"/>
    <col min="7" max="19" width="9.140625" style="3" customWidth="1"/>
    <col min="20" max="30" width="9" style="2"/>
    <col min="31" max="255" width="9" style="3"/>
    <col min="256" max="256" width="5.140625" style="3" customWidth="1"/>
    <col min="257" max="257" width="19" style="3" customWidth="1"/>
    <col min="258" max="258" width="15.42578125" style="3" customWidth="1"/>
    <col min="259" max="275" width="9.140625" style="3" customWidth="1"/>
    <col min="276" max="511" width="9" style="3"/>
    <col min="512" max="512" width="5.140625" style="3" customWidth="1"/>
    <col min="513" max="513" width="19" style="3" customWidth="1"/>
    <col min="514" max="514" width="15.42578125" style="3" customWidth="1"/>
    <col min="515" max="531" width="9.140625" style="3" customWidth="1"/>
    <col min="532" max="767" width="9" style="3"/>
    <col min="768" max="768" width="5.140625" style="3" customWidth="1"/>
    <col min="769" max="769" width="19" style="3" customWidth="1"/>
    <col min="770" max="770" width="15.42578125" style="3" customWidth="1"/>
    <col min="771" max="787" width="9.140625" style="3" customWidth="1"/>
    <col min="788" max="1023" width="9" style="3"/>
    <col min="1024" max="1024" width="5.140625" style="3" customWidth="1"/>
    <col min="1025" max="1025" width="19" style="3" customWidth="1"/>
    <col min="1026" max="1026" width="15.42578125" style="3" customWidth="1"/>
    <col min="1027" max="1043" width="9.140625" style="3" customWidth="1"/>
    <col min="1044" max="1279" width="9" style="3"/>
    <col min="1280" max="1280" width="5.140625" style="3" customWidth="1"/>
    <col min="1281" max="1281" width="19" style="3" customWidth="1"/>
    <col min="1282" max="1282" width="15.42578125" style="3" customWidth="1"/>
    <col min="1283" max="1299" width="9.140625" style="3" customWidth="1"/>
    <col min="1300" max="1535" width="9" style="3"/>
    <col min="1536" max="1536" width="5.140625" style="3" customWidth="1"/>
    <col min="1537" max="1537" width="19" style="3" customWidth="1"/>
    <col min="1538" max="1538" width="15.42578125" style="3" customWidth="1"/>
    <col min="1539" max="1555" width="9.140625" style="3" customWidth="1"/>
    <col min="1556" max="1791" width="9" style="3"/>
    <col min="1792" max="1792" width="5.140625" style="3" customWidth="1"/>
    <col min="1793" max="1793" width="19" style="3" customWidth="1"/>
    <col min="1794" max="1794" width="15.42578125" style="3" customWidth="1"/>
    <col min="1795" max="1811" width="9.140625" style="3" customWidth="1"/>
    <col min="1812" max="2047" width="9" style="3"/>
    <col min="2048" max="2048" width="5.140625" style="3" customWidth="1"/>
    <col min="2049" max="2049" width="19" style="3" customWidth="1"/>
    <col min="2050" max="2050" width="15.42578125" style="3" customWidth="1"/>
    <col min="2051" max="2067" width="9.140625" style="3" customWidth="1"/>
    <col min="2068" max="2303" width="9" style="3"/>
    <col min="2304" max="2304" width="5.140625" style="3" customWidth="1"/>
    <col min="2305" max="2305" width="19" style="3" customWidth="1"/>
    <col min="2306" max="2306" width="15.42578125" style="3" customWidth="1"/>
    <col min="2307" max="2323" width="9.140625" style="3" customWidth="1"/>
    <col min="2324" max="2559" width="9" style="3"/>
    <col min="2560" max="2560" width="5.140625" style="3" customWidth="1"/>
    <col min="2561" max="2561" width="19" style="3" customWidth="1"/>
    <col min="2562" max="2562" width="15.42578125" style="3" customWidth="1"/>
    <col min="2563" max="2579" width="9.140625" style="3" customWidth="1"/>
    <col min="2580" max="2815" width="9" style="3"/>
    <col min="2816" max="2816" width="5.140625" style="3" customWidth="1"/>
    <col min="2817" max="2817" width="19" style="3" customWidth="1"/>
    <col min="2818" max="2818" width="15.42578125" style="3" customWidth="1"/>
    <col min="2819" max="2835" width="9.140625" style="3" customWidth="1"/>
    <col min="2836" max="3071" width="9" style="3"/>
    <col min="3072" max="3072" width="5.140625" style="3" customWidth="1"/>
    <col min="3073" max="3073" width="19" style="3" customWidth="1"/>
    <col min="3074" max="3074" width="15.42578125" style="3" customWidth="1"/>
    <col min="3075" max="3091" width="9.140625" style="3" customWidth="1"/>
    <col min="3092" max="3327" width="9" style="3"/>
    <col min="3328" max="3328" width="5.140625" style="3" customWidth="1"/>
    <col min="3329" max="3329" width="19" style="3" customWidth="1"/>
    <col min="3330" max="3330" width="15.42578125" style="3" customWidth="1"/>
    <col min="3331" max="3347" width="9.140625" style="3" customWidth="1"/>
    <col min="3348" max="3583" width="9" style="3"/>
    <col min="3584" max="3584" width="5.140625" style="3" customWidth="1"/>
    <col min="3585" max="3585" width="19" style="3" customWidth="1"/>
    <col min="3586" max="3586" width="15.42578125" style="3" customWidth="1"/>
    <col min="3587" max="3603" width="9.140625" style="3" customWidth="1"/>
    <col min="3604" max="3839" width="9" style="3"/>
    <col min="3840" max="3840" width="5.140625" style="3" customWidth="1"/>
    <col min="3841" max="3841" width="19" style="3" customWidth="1"/>
    <col min="3842" max="3842" width="15.42578125" style="3" customWidth="1"/>
    <col min="3843" max="3859" width="9.140625" style="3" customWidth="1"/>
    <col min="3860" max="4095" width="9" style="3"/>
    <col min="4096" max="4096" width="5.140625" style="3" customWidth="1"/>
    <col min="4097" max="4097" width="19" style="3" customWidth="1"/>
    <col min="4098" max="4098" width="15.42578125" style="3" customWidth="1"/>
    <col min="4099" max="4115" width="9.140625" style="3" customWidth="1"/>
    <col min="4116" max="4351" width="9" style="3"/>
    <col min="4352" max="4352" width="5.140625" style="3" customWidth="1"/>
    <col min="4353" max="4353" width="19" style="3" customWidth="1"/>
    <col min="4354" max="4354" width="15.42578125" style="3" customWidth="1"/>
    <col min="4355" max="4371" width="9.140625" style="3" customWidth="1"/>
    <col min="4372" max="4607" width="9" style="3"/>
    <col min="4608" max="4608" width="5.140625" style="3" customWidth="1"/>
    <col min="4609" max="4609" width="19" style="3" customWidth="1"/>
    <col min="4610" max="4610" width="15.42578125" style="3" customWidth="1"/>
    <col min="4611" max="4627" width="9.140625" style="3" customWidth="1"/>
    <col min="4628" max="4863" width="9" style="3"/>
    <col min="4864" max="4864" width="5.140625" style="3" customWidth="1"/>
    <col min="4865" max="4865" width="19" style="3" customWidth="1"/>
    <col min="4866" max="4866" width="15.42578125" style="3" customWidth="1"/>
    <col min="4867" max="4883" width="9.140625" style="3" customWidth="1"/>
    <col min="4884" max="5119" width="9" style="3"/>
    <col min="5120" max="5120" width="5.140625" style="3" customWidth="1"/>
    <col min="5121" max="5121" width="19" style="3" customWidth="1"/>
    <col min="5122" max="5122" width="15.42578125" style="3" customWidth="1"/>
    <col min="5123" max="5139" width="9.140625" style="3" customWidth="1"/>
    <col min="5140" max="5375" width="9" style="3"/>
    <col min="5376" max="5376" width="5.140625" style="3" customWidth="1"/>
    <col min="5377" max="5377" width="19" style="3" customWidth="1"/>
    <col min="5378" max="5378" width="15.42578125" style="3" customWidth="1"/>
    <col min="5379" max="5395" width="9.140625" style="3" customWidth="1"/>
    <col min="5396" max="5631" width="9" style="3"/>
    <col min="5632" max="5632" width="5.140625" style="3" customWidth="1"/>
    <col min="5633" max="5633" width="19" style="3" customWidth="1"/>
    <col min="5634" max="5634" width="15.42578125" style="3" customWidth="1"/>
    <col min="5635" max="5651" width="9.140625" style="3" customWidth="1"/>
    <col min="5652" max="5887" width="9" style="3"/>
    <col min="5888" max="5888" width="5.140625" style="3" customWidth="1"/>
    <col min="5889" max="5889" width="19" style="3" customWidth="1"/>
    <col min="5890" max="5890" width="15.42578125" style="3" customWidth="1"/>
    <col min="5891" max="5907" width="9.140625" style="3" customWidth="1"/>
    <col min="5908" max="6143" width="9" style="3"/>
    <col min="6144" max="6144" width="5.140625" style="3" customWidth="1"/>
    <col min="6145" max="6145" width="19" style="3" customWidth="1"/>
    <col min="6146" max="6146" width="15.42578125" style="3" customWidth="1"/>
    <col min="6147" max="6163" width="9.140625" style="3" customWidth="1"/>
    <col min="6164" max="6399" width="9" style="3"/>
    <col min="6400" max="6400" width="5.140625" style="3" customWidth="1"/>
    <col min="6401" max="6401" width="19" style="3" customWidth="1"/>
    <col min="6402" max="6402" width="15.42578125" style="3" customWidth="1"/>
    <col min="6403" max="6419" width="9.140625" style="3" customWidth="1"/>
    <col min="6420" max="6655" width="9" style="3"/>
    <col min="6656" max="6656" width="5.140625" style="3" customWidth="1"/>
    <col min="6657" max="6657" width="19" style="3" customWidth="1"/>
    <col min="6658" max="6658" width="15.42578125" style="3" customWidth="1"/>
    <col min="6659" max="6675" width="9.140625" style="3" customWidth="1"/>
    <col min="6676" max="6911" width="9" style="3"/>
    <col min="6912" max="6912" width="5.140625" style="3" customWidth="1"/>
    <col min="6913" max="6913" width="19" style="3" customWidth="1"/>
    <col min="6914" max="6914" width="15.42578125" style="3" customWidth="1"/>
    <col min="6915" max="6931" width="9.140625" style="3" customWidth="1"/>
    <col min="6932" max="7167" width="9" style="3"/>
    <col min="7168" max="7168" width="5.140625" style="3" customWidth="1"/>
    <col min="7169" max="7169" width="19" style="3" customWidth="1"/>
    <col min="7170" max="7170" width="15.42578125" style="3" customWidth="1"/>
    <col min="7171" max="7187" width="9.140625" style="3" customWidth="1"/>
    <col min="7188" max="7423" width="9" style="3"/>
    <col min="7424" max="7424" width="5.140625" style="3" customWidth="1"/>
    <col min="7425" max="7425" width="19" style="3" customWidth="1"/>
    <col min="7426" max="7426" width="15.42578125" style="3" customWidth="1"/>
    <col min="7427" max="7443" width="9.140625" style="3" customWidth="1"/>
    <col min="7444" max="7679" width="9" style="3"/>
    <col min="7680" max="7680" width="5.140625" style="3" customWidth="1"/>
    <col min="7681" max="7681" width="19" style="3" customWidth="1"/>
    <col min="7682" max="7682" width="15.42578125" style="3" customWidth="1"/>
    <col min="7683" max="7699" width="9.140625" style="3" customWidth="1"/>
    <col min="7700" max="7935" width="9" style="3"/>
    <col min="7936" max="7936" width="5.140625" style="3" customWidth="1"/>
    <col min="7937" max="7937" width="19" style="3" customWidth="1"/>
    <col min="7938" max="7938" width="15.42578125" style="3" customWidth="1"/>
    <col min="7939" max="7955" width="9.140625" style="3" customWidth="1"/>
    <col min="7956" max="8191" width="9" style="3"/>
    <col min="8192" max="8192" width="5.140625" style="3" customWidth="1"/>
    <col min="8193" max="8193" width="19" style="3" customWidth="1"/>
    <col min="8194" max="8194" width="15.42578125" style="3" customWidth="1"/>
    <col min="8195" max="8211" width="9.140625" style="3" customWidth="1"/>
    <col min="8212" max="8447" width="9" style="3"/>
    <col min="8448" max="8448" width="5.140625" style="3" customWidth="1"/>
    <col min="8449" max="8449" width="19" style="3" customWidth="1"/>
    <col min="8450" max="8450" width="15.42578125" style="3" customWidth="1"/>
    <col min="8451" max="8467" width="9.140625" style="3" customWidth="1"/>
    <col min="8468" max="8703" width="9" style="3"/>
    <col min="8704" max="8704" width="5.140625" style="3" customWidth="1"/>
    <col min="8705" max="8705" width="19" style="3" customWidth="1"/>
    <col min="8706" max="8706" width="15.42578125" style="3" customWidth="1"/>
    <col min="8707" max="8723" width="9.140625" style="3" customWidth="1"/>
    <col min="8724" max="8959" width="9" style="3"/>
    <col min="8960" max="8960" width="5.140625" style="3" customWidth="1"/>
    <col min="8961" max="8961" width="19" style="3" customWidth="1"/>
    <col min="8962" max="8962" width="15.42578125" style="3" customWidth="1"/>
    <col min="8963" max="8979" width="9.140625" style="3" customWidth="1"/>
    <col min="8980" max="9215" width="9" style="3"/>
    <col min="9216" max="9216" width="5.140625" style="3" customWidth="1"/>
    <col min="9217" max="9217" width="19" style="3" customWidth="1"/>
    <col min="9218" max="9218" width="15.42578125" style="3" customWidth="1"/>
    <col min="9219" max="9235" width="9.140625" style="3" customWidth="1"/>
    <col min="9236" max="9471" width="9" style="3"/>
    <col min="9472" max="9472" width="5.140625" style="3" customWidth="1"/>
    <col min="9473" max="9473" width="19" style="3" customWidth="1"/>
    <col min="9474" max="9474" width="15.42578125" style="3" customWidth="1"/>
    <col min="9475" max="9491" width="9.140625" style="3" customWidth="1"/>
    <col min="9492" max="9727" width="9" style="3"/>
    <col min="9728" max="9728" width="5.140625" style="3" customWidth="1"/>
    <col min="9729" max="9729" width="19" style="3" customWidth="1"/>
    <col min="9730" max="9730" width="15.42578125" style="3" customWidth="1"/>
    <col min="9731" max="9747" width="9.140625" style="3" customWidth="1"/>
    <col min="9748" max="9983" width="9" style="3"/>
    <col min="9984" max="9984" width="5.140625" style="3" customWidth="1"/>
    <col min="9985" max="9985" width="19" style="3" customWidth="1"/>
    <col min="9986" max="9986" width="15.42578125" style="3" customWidth="1"/>
    <col min="9987" max="10003" width="9.140625" style="3" customWidth="1"/>
    <col min="10004" max="10239" width="9" style="3"/>
    <col min="10240" max="10240" width="5.140625" style="3" customWidth="1"/>
    <col min="10241" max="10241" width="19" style="3" customWidth="1"/>
    <col min="10242" max="10242" width="15.42578125" style="3" customWidth="1"/>
    <col min="10243" max="10259" width="9.140625" style="3" customWidth="1"/>
    <col min="10260" max="10495" width="9" style="3"/>
    <col min="10496" max="10496" width="5.140625" style="3" customWidth="1"/>
    <col min="10497" max="10497" width="19" style="3" customWidth="1"/>
    <col min="10498" max="10498" width="15.42578125" style="3" customWidth="1"/>
    <col min="10499" max="10515" width="9.140625" style="3" customWidth="1"/>
    <col min="10516" max="10751" width="9" style="3"/>
    <col min="10752" max="10752" width="5.140625" style="3" customWidth="1"/>
    <col min="10753" max="10753" width="19" style="3" customWidth="1"/>
    <col min="10754" max="10754" width="15.42578125" style="3" customWidth="1"/>
    <col min="10755" max="10771" width="9.140625" style="3" customWidth="1"/>
    <col min="10772" max="11007" width="9" style="3"/>
    <col min="11008" max="11008" width="5.140625" style="3" customWidth="1"/>
    <col min="11009" max="11009" width="19" style="3" customWidth="1"/>
    <col min="11010" max="11010" width="15.42578125" style="3" customWidth="1"/>
    <col min="11011" max="11027" width="9.140625" style="3" customWidth="1"/>
    <col min="11028" max="11263" width="9" style="3"/>
    <col min="11264" max="11264" width="5.140625" style="3" customWidth="1"/>
    <col min="11265" max="11265" width="19" style="3" customWidth="1"/>
    <col min="11266" max="11266" width="15.42578125" style="3" customWidth="1"/>
    <col min="11267" max="11283" width="9.140625" style="3" customWidth="1"/>
    <col min="11284" max="11519" width="9" style="3"/>
    <col min="11520" max="11520" width="5.140625" style="3" customWidth="1"/>
    <col min="11521" max="11521" width="19" style="3" customWidth="1"/>
    <col min="11522" max="11522" width="15.42578125" style="3" customWidth="1"/>
    <col min="11523" max="11539" width="9.140625" style="3" customWidth="1"/>
    <col min="11540" max="11775" width="9" style="3"/>
    <col min="11776" max="11776" width="5.140625" style="3" customWidth="1"/>
    <col min="11777" max="11777" width="19" style="3" customWidth="1"/>
    <col min="11778" max="11778" width="15.42578125" style="3" customWidth="1"/>
    <col min="11779" max="11795" width="9.140625" style="3" customWidth="1"/>
    <col min="11796" max="12031" width="9" style="3"/>
    <col min="12032" max="12032" width="5.140625" style="3" customWidth="1"/>
    <col min="12033" max="12033" width="19" style="3" customWidth="1"/>
    <col min="12034" max="12034" width="15.42578125" style="3" customWidth="1"/>
    <col min="12035" max="12051" width="9.140625" style="3" customWidth="1"/>
    <col min="12052" max="12287" width="9" style="3"/>
    <col min="12288" max="12288" width="5.140625" style="3" customWidth="1"/>
    <col min="12289" max="12289" width="19" style="3" customWidth="1"/>
    <col min="12290" max="12290" width="15.42578125" style="3" customWidth="1"/>
    <col min="12291" max="12307" width="9.140625" style="3" customWidth="1"/>
    <col min="12308" max="12543" width="9" style="3"/>
    <col min="12544" max="12544" width="5.140625" style="3" customWidth="1"/>
    <col min="12545" max="12545" width="19" style="3" customWidth="1"/>
    <col min="12546" max="12546" width="15.42578125" style="3" customWidth="1"/>
    <col min="12547" max="12563" width="9.140625" style="3" customWidth="1"/>
    <col min="12564" max="12799" width="9" style="3"/>
    <col min="12800" max="12800" width="5.140625" style="3" customWidth="1"/>
    <col min="12801" max="12801" width="19" style="3" customWidth="1"/>
    <col min="12802" max="12802" width="15.42578125" style="3" customWidth="1"/>
    <col min="12803" max="12819" width="9.140625" style="3" customWidth="1"/>
    <col min="12820" max="13055" width="9" style="3"/>
    <col min="13056" max="13056" width="5.140625" style="3" customWidth="1"/>
    <col min="13057" max="13057" width="19" style="3" customWidth="1"/>
    <col min="13058" max="13058" width="15.42578125" style="3" customWidth="1"/>
    <col min="13059" max="13075" width="9.140625" style="3" customWidth="1"/>
    <col min="13076" max="13311" width="9" style="3"/>
    <col min="13312" max="13312" width="5.140625" style="3" customWidth="1"/>
    <col min="13313" max="13313" width="19" style="3" customWidth="1"/>
    <col min="13314" max="13314" width="15.42578125" style="3" customWidth="1"/>
    <col min="13315" max="13331" width="9.140625" style="3" customWidth="1"/>
    <col min="13332" max="13567" width="9" style="3"/>
    <col min="13568" max="13568" width="5.140625" style="3" customWidth="1"/>
    <col min="13569" max="13569" width="19" style="3" customWidth="1"/>
    <col min="13570" max="13570" width="15.42578125" style="3" customWidth="1"/>
    <col min="13571" max="13587" width="9.140625" style="3" customWidth="1"/>
    <col min="13588" max="13823" width="9" style="3"/>
    <col min="13824" max="13824" width="5.140625" style="3" customWidth="1"/>
    <col min="13825" max="13825" width="19" style="3" customWidth="1"/>
    <col min="13826" max="13826" width="15.42578125" style="3" customWidth="1"/>
    <col min="13827" max="13843" width="9.140625" style="3" customWidth="1"/>
    <col min="13844" max="14079" width="9" style="3"/>
    <col min="14080" max="14080" width="5.140625" style="3" customWidth="1"/>
    <col min="14081" max="14081" width="19" style="3" customWidth="1"/>
    <col min="14082" max="14082" width="15.42578125" style="3" customWidth="1"/>
    <col min="14083" max="14099" width="9.140625" style="3" customWidth="1"/>
    <col min="14100" max="14335" width="9" style="3"/>
    <col min="14336" max="14336" width="5.140625" style="3" customWidth="1"/>
    <col min="14337" max="14337" width="19" style="3" customWidth="1"/>
    <col min="14338" max="14338" width="15.42578125" style="3" customWidth="1"/>
    <col min="14339" max="14355" width="9.140625" style="3" customWidth="1"/>
    <col min="14356" max="14591" width="9" style="3"/>
    <col min="14592" max="14592" width="5.140625" style="3" customWidth="1"/>
    <col min="14593" max="14593" width="19" style="3" customWidth="1"/>
    <col min="14594" max="14594" width="15.42578125" style="3" customWidth="1"/>
    <col min="14595" max="14611" width="9.140625" style="3" customWidth="1"/>
    <col min="14612" max="14847" width="9" style="3"/>
    <col min="14848" max="14848" width="5.140625" style="3" customWidth="1"/>
    <col min="14849" max="14849" width="19" style="3" customWidth="1"/>
    <col min="14850" max="14850" width="15.42578125" style="3" customWidth="1"/>
    <col min="14851" max="14867" width="9.140625" style="3" customWidth="1"/>
    <col min="14868" max="15103" width="9" style="3"/>
    <col min="15104" max="15104" width="5.140625" style="3" customWidth="1"/>
    <col min="15105" max="15105" width="19" style="3" customWidth="1"/>
    <col min="15106" max="15106" width="15.42578125" style="3" customWidth="1"/>
    <col min="15107" max="15123" width="9.140625" style="3" customWidth="1"/>
    <col min="15124" max="15359" width="9" style="3"/>
    <col min="15360" max="15360" width="5.140625" style="3" customWidth="1"/>
    <col min="15361" max="15361" width="19" style="3" customWidth="1"/>
    <col min="15362" max="15362" width="15.42578125" style="3" customWidth="1"/>
    <col min="15363" max="15379" width="9.140625" style="3" customWidth="1"/>
    <col min="15380" max="15615" width="9" style="3"/>
    <col min="15616" max="15616" width="5.140625" style="3" customWidth="1"/>
    <col min="15617" max="15617" width="19" style="3" customWidth="1"/>
    <col min="15618" max="15618" width="15.42578125" style="3" customWidth="1"/>
    <col min="15619" max="15635" width="9.140625" style="3" customWidth="1"/>
    <col min="15636" max="15871" width="9" style="3"/>
    <col min="15872" max="15872" width="5.140625" style="3" customWidth="1"/>
    <col min="15873" max="15873" width="19" style="3" customWidth="1"/>
    <col min="15874" max="15874" width="15.42578125" style="3" customWidth="1"/>
    <col min="15875" max="15891" width="9.140625" style="3" customWidth="1"/>
    <col min="15892" max="16127" width="9" style="3"/>
    <col min="16128" max="16128" width="5.140625" style="3" customWidth="1"/>
    <col min="16129" max="16129" width="19" style="3" customWidth="1"/>
    <col min="16130" max="16130" width="15.42578125" style="3" customWidth="1"/>
    <col min="16131" max="16147" width="9.140625" style="3" customWidth="1"/>
    <col min="16148" max="16384" width="9" style="3"/>
  </cols>
  <sheetData>
    <row r="1" spans="1:21" ht="34.5" thickBot="1" x14ac:dyDescent="0.3">
      <c r="A1" s="176" t="s">
        <v>69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8"/>
      <c r="T1" s="1"/>
      <c r="U1" s="1"/>
    </row>
    <row r="2" spans="1:21" ht="163.5" customHeight="1" thickBot="1" x14ac:dyDescent="0.3">
      <c r="A2" s="4" t="s">
        <v>0</v>
      </c>
      <c r="B2" s="5" t="s">
        <v>1</v>
      </c>
      <c r="C2" s="6" t="s">
        <v>2</v>
      </c>
      <c r="D2" s="7" t="s">
        <v>70</v>
      </c>
      <c r="E2" s="8" t="s">
        <v>71</v>
      </c>
      <c r="F2" s="7" t="s">
        <v>79</v>
      </c>
      <c r="G2" s="7" t="s">
        <v>80</v>
      </c>
      <c r="H2" s="7" t="s">
        <v>95</v>
      </c>
      <c r="I2" s="7" t="s">
        <v>94</v>
      </c>
      <c r="J2" s="8" t="s">
        <v>113</v>
      </c>
      <c r="K2" s="8" t="s">
        <v>114</v>
      </c>
      <c r="L2" s="8" t="s">
        <v>144</v>
      </c>
      <c r="M2" s="8" t="s">
        <v>145</v>
      </c>
      <c r="N2" s="8" t="s">
        <v>146</v>
      </c>
      <c r="O2" s="8" t="s">
        <v>148</v>
      </c>
      <c r="P2" s="8" t="s">
        <v>149</v>
      </c>
      <c r="Q2" s="7" t="s">
        <v>170</v>
      </c>
      <c r="R2" s="8" t="s">
        <v>171</v>
      </c>
      <c r="S2" s="9" t="s">
        <v>3</v>
      </c>
      <c r="T2" s="10"/>
      <c r="U2" s="10"/>
    </row>
    <row r="3" spans="1:21" ht="15.75" thickBot="1" x14ac:dyDescent="0.3">
      <c r="A3" s="108" t="s">
        <v>4</v>
      </c>
      <c r="B3" s="109" t="s">
        <v>125</v>
      </c>
      <c r="C3" s="110" t="s">
        <v>19</v>
      </c>
      <c r="D3" s="111"/>
      <c r="E3" s="112"/>
      <c r="F3" s="112"/>
      <c r="G3" s="112"/>
      <c r="H3" s="112"/>
      <c r="I3" s="112"/>
      <c r="J3" s="112"/>
      <c r="K3" s="112">
        <f>100-(74.28-74.28)/74.28*50</f>
        <v>100</v>
      </c>
      <c r="L3" s="113"/>
      <c r="M3" s="114"/>
      <c r="N3" s="113"/>
      <c r="O3" s="113"/>
      <c r="P3" s="113"/>
      <c r="Q3" s="113"/>
      <c r="R3" s="113"/>
      <c r="S3" s="115">
        <f>SUM(D3:R3)</f>
        <v>100</v>
      </c>
    </row>
    <row r="4" spans="1:21" x14ac:dyDescent="0.25">
      <c r="A4" s="2"/>
      <c r="B4" s="2"/>
      <c r="C4" s="2"/>
      <c r="D4" s="48"/>
      <c r="E4" s="48"/>
      <c r="F4" s="49"/>
      <c r="G4" s="48"/>
      <c r="H4" s="48"/>
      <c r="I4" s="48"/>
      <c r="J4" s="48"/>
      <c r="K4" s="48"/>
      <c r="L4" s="48"/>
      <c r="M4" s="49"/>
      <c r="N4" s="48"/>
      <c r="O4" s="49"/>
      <c r="P4" s="49"/>
      <c r="Q4" s="49"/>
      <c r="R4" s="49"/>
      <c r="S4" s="51"/>
    </row>
    <row r="5" spans="1:21" x14ac:dyDescent="0.25">
      <c r="A5" s="2"/>
      <c r="B5" s="2"/>
      <c r="C5" s="2"/>
      <c r="D5" s="48"/>
      <c r="E5" s="48"/>
      <c r="F5" s="49"/>
      <c r="G5" s="48"/>
      <c r="H5" s="48"/>
      <c r="I5" s="48"/>
      <c r="J5" s="48"/>
      <c r="K5" s="48"/>
      <c r="L5" s="48"/>
      <c r="M5" s="49"/>
      <c r="N5" s="48"/>
      <c r="O5" s="49"/>
      <c r="P5" s="49"/>
      <c r="Q5" s="49"/>
      <c r="R5" s="49"/>
      <c r="S5" s="51"/>
    </row>
    <row r="6" spans="1:21" x14ac:dyDescent="0.25">
      <c r="A6" s="2"/>
      <c r="B6" s="2"/>
      <c r="C6" s="2"/>
      <c r="D6" s="52"/>
      <c r="E6" s="2"/>
      <c r="F6" s="52"/>
      <c r="G6" s="2"/>
      <c r="H6" s="2"/>
      <c r="I6" s="2"/>
      <c r="J6" s="52"/>
      <c r="K6" s="52"/>
      <c r="L6" s="2"/>
      <c r="M6" s="85"/>
      <c r="N6" s="2"/>
      <c r="O6" s="2"/>
      <c r="P6" s="2"/>
      <c r="Q6" s="2"/>
      <c r="R6" s="2"/>
      <c r="S6" s="2"/>
    </row>
    <row r="7" spans="1:21" s="53" customFormat="1" x14ac:dyDescent="0.25">
      <c r="A7" s="53" t="s">
        <v>36</v>
      </c>
    </row>
    <row r="8" spans="1:21" s="54" customFormat="1" x14ac:dyDescent="0.25">
      <c r="A8" s="54" t="s">
        <v>37</v>
      </c>
    </row>
    <row r="9" spans="1:21" x14ac:dyDescent="0.25">
      <c r="A9" s="2"/>
      <c r="B9" s="2"/>
      <c r="C9" s="2"/>
      <c r="D9" s="2"/>
      <c r="E9" s="2"/>
      <c r="F9" s="5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21" x14ac:dyDescent="0.25">
      <c r="A10" s="2"/>
      <c r="B10" s="2"/>
      <c r="C10" s="2"/>
      <c r="D10" s="2"/>
      <c r="E10" s="2"/>
      <c r="F10" s="5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21" x14ac:dyDescent="0.25">
      <c r="A11" s="2"/>
      <c r="B11" s="2"/>
      <c r="C11" s="2"/>
      <c r="D11" s="2"/>
      <c r="E11" s="2"/>
      <c r="F11" s="5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21" x14ac:dyDescent="0.25">
      <c r="A12" s="2"/>
      <c r="B12" s="2"/>
      <c r="C12" s="2"/>
      <c r="D12" s="2"/>
      <c r="E12" s="2"/>
      <c r="F12" s="5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21" x14ac:dyDescent="0.25">
      <c r="A13" s="2"/>
      <c r="B13" s="2"/>
      <c r="C13" s="2"/>
      <c r="D13" s="2"/>
      <c r="E13" s="2"/>
      <c r="F13" s="5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21" x14ac:dyDescent="0.25">
      <c r="A14" s="2"/>
      <c r="B14" s="2"/>
      <c r="C14" s="2"/>
      <c r="D14" s="2"/>
      <c r="E14" s="2"/>
      <c r="F14" s="5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21" s="2" customFormat="1" x14ac:dyDescent="0.25">
      <c r="F15" s="52"/>
    </row>
    <row r="16" spans="1:21" s="2" customFormat="1" x14ac:dyDescent="0.25">
      <c r="F16" s="52"/>
    </row>
    <row r="17" spans="6:6" s="2" customFormat="1" x14ac:dyDescent="0.25">
      <c r="F17" s="52"/>
    </row>
    <row r="18" spans="6:6" s="2" customFormat="1" x14ac:dyDescent="0.25">
      <c r="F18" s="52"/>
    </row>
    <row r="19" spans="6:6" s="2" customFormat="1" x14ac:dyDescent="0.25">
      <c r="F19" s="52"/>
    </row>
    <row r="20" spans="6:6" s="2" customFormat="1" x14ac:dyDescent="0.25">
      <c r="F20" s="52"/>
    </row>
    <row r="21" spans="6:6" s="2" customFormat="1" x14ac:dyDescent="0.25">
      <c r="F21" s="52"/>
    </row>
    <row r="22" spans="6:6" s="2" customFormat="1" x14ac:dyDescent="0.25">
      <c r="F22" s="52"/>
    </row>
    <row r="23" spans="6:6" s="2" customFormat="1" x14ac:dyDescent="0.25">
      <c r="F23" s="52"/>
    </row>
    <row r="24" spans="6:6" s="2" customFormat="1" x14ac:dyDescent="0.25">
      <c r="F24" s="52"/>
    </row>
    <row r="25" spans="6:6" s="2" customFormat="1" x14ac:dyDescent="0.25">
      <c r="F25" s="52"/>
    </row>
    <row r="26" spans="6:6" s="2" customFormat="1" x14ac:dyDescent="0.25">
      <c r="F26" s="52"/>
    </row>
    <row r="27" spans="6:6" s="2" customFormat="1" x14ac:dyDescent="0.25">
      <c r="F27" s="52"/>
    </row>
    <row r="28" spans="6:6" s="2" customFormat="1" x14ac:dyDescent="0.25">
      <c r="F28" s="52"/>
    </row>
    <row r="29" spans="6:6" s="2" customFormat="1" x14ac:dyDescent="0.25">
      <c r="F29" s="52"/>
    </row>
    <row r="30" spans="6:6" s="2" customFormat="1" x14ac:dyDescent="0.25">
      <c r="F30" s="52"/>
    </row>
    <row r="31" spans="6:6" s="2" customFormat="1" x14ac:dyDescent="0.25">
      <c r="F31" s="52"/>
    </row>
    <row r="32" spans="6:6" s="2" customFormat="1" x14ac:dyDescent="0.25">
      <c r="F32" s="52"/>
    </row>
  </sheetData>
  <mergeCells count="1">
    <mergeCell ref="A1:S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workbookViewId="0">
      <selection activeCell="P15" sqref="P15"/>
    </sheetView>
  </sheetViews>
  <sheetFormatPr defaultColWidth="9" defaultRowHeight="15" x14ac:dyDescent="0.25"/>
  <cols>
    <col min="1" max="1" width="5.140625" style="3" customWidth="1"/>
    <col min="2" max="2" width="21.5703125" style="3" customWidth="1"/>
    <col min="3" max="3" width="19.140625" style="3" customWidth="1"/>
    <col min="4" max="5" width="9.140625" style="3" customWidth="1"/>
    <col min="6" max="6" width="9.140625" style="55" customWidth="1"/>
    <col min="7" max="19" width="9.140625" style="3" customWidth="1"/>
    <col min="20" max="30" width="9" style="2"/>
    <col min="31" max="255" width="9" style="3"/>
    <col min="256" max="256" width="5.140625" style="3" customWidth="1"/>
    <col min="257" max="257" width="21.5703125" style="3" customWidth="1"/>
    <col min="258" max="258" width="19.140625" style="3" customWidth="1"/>
    <col min="259" max="275" width="9.140625" style="3" customWidth="1"/>
    <col min="276" max="511" width="9" style="3"/>
    <col min="512" max="512" width="5.140625" style="3" customWidth="1"/>
    <col min="513" max="513" width="21.5703125" style="3" customWidth="1"/>
    <col min="514" max="514" width="19.140625" style="3" customWidth="1"/>
    <col min="515" max="531" width="9.140625" style="3" customWidth="1"/>
    <col min="532" max="767" width="9" style="3"/>
    <col min="768" max="768" width="5.140625" style="3" customWidth="1"/>
    <col min="769" max="769" width="21.5703125" style="3" customWidth="1"/>
    <col min="770" max="770" width="19.140625" style="3" customWidth="1"/>
    <col min="771" max="787" width="9.140625" style="3" customWidth="1"/>
    <col min="788" max="1023" width="9" style="3"/>
    <col min="1024" max="1024" width="5.140625" style="3" customWidth="1"/>
    <col min="1025" max="1025" width="21.5703125" style="3" customWidth="1"/>
    <col min="1026" max="1026" width="19.140625" style="3" customWidth="1"/>
    <col min="1027" max="1043" width="9.140625" style="3" customWidth="1"/>
    <col min="1044" max="1279" width="9" style="3"/>
    <col min="1280" max="1280" width="5.140625" style="3" customWidth="1"/>
    <col min="1281" max="1281" width="21.5703125" style="3" customWidth="1"/>
    <col min="1282" max="1282" width="19.140625" style="3" customWidth="1"/>
    <col min="1283" max="1299" width="9.140625" style="3" customWidth="1"/>
    <col min="1300" max="1535" width="9" style="3"/>
    <col min="1536" max="1536" width="5.140625" style="3" customWidth="1"/>
    <col min="1537" max="1537" width="21.5703125" style="3" customWidth="1"/>
    <col min="1538" max="1538" width="19.140625" style="3" customWidth="1"/>
    <col min="1539" max="1555" width="9.140625" style="3" customWidth="1"/>
    <col min="1556" max="1791" width="9" style="3"/>
    <col min="1792" max="1792" width="5.140625" style="3" customWidth="1"/>
    <col min="1793" max="1793" width="21.5703125" style="3" customWidth="1"/>
    <col min="1794" max="1794" width="19.140625" style="3" customWidth="1"/>
    <col min="1795" max="1811" width="9.140625" style="3" customWidth="1"/>
    <col min="1812" max="2047" width="9" style="3"/>
    <col min="2048" max="2048" width="5.140625" style="3" customWidth="1"/>
    <col min="2049" max="2049" width="21.5703125" style="3" customWidth="1"/>
    <col min="2050" max="2050" width="19.140625" style="3" customWidth="1"/>
    <col min="2051" max="2067" width="9.140625" style="3" customWidth="1"/>
    <col min="2068" max="2303" width="9" style="3"/>
    <col min="2304" max="2304" width="5.140625" style="3" customWidth="1"/>
    <col min="2305" max="2305" width="21.5703125" style="3" customWidth="1"/>
    <col min="2306" max="2306" width="19.140625" style="3" customWidth="1"/>
    <col min="2307" max="2323" width="9.140625" style="3" customWidth="1"/>
    <col min="2324" max="2559" width="9" style="3"/>
    <col min="2560" max="2560" width="5.140625" style="3" customWidth="1"/>
    <col min="2561" max="2561" width="21.5703125" style="3" customWidth="1"/>
    <col min="2562" max="2562" width="19.140625" style="3" customWidth="1"/>
    <col min="2563" max="2579" width="9.140625" style="3" customWidth="1"/>
    <col min="2580" max="2815" width="9" style="3"/>
    <col min="2816" max="2816" width="5.140625" style="3" customWidth="1"/>
    <col min="2817" max="2817" width="21.5703125" style="3" customWidth="1"/>
    <col min="2818" max="2818" width="19.140625" style="3" customWidth="1"/>
    <col min="2819" max="2835" width="9.140625" style="3" customWidth="1"/>
    <col min="2836" max="3071" width="9" style="3"/>
    <col min="3072" max="3072" width="5.140625" style="3" customWidth="1"/>
    <col min="3073" max="3073" width="21.5703125" style="3" customWidth="1"/>
    <col min="3074" max="3074" width="19.140625" style="3" customWidth="1"/>
    <col min="3075" max="3091" width="9.140625" style="3" customWidth="1"/>
    <col min="3092" max="3327" width="9" style="3"/>
    <col min="3328" max="3328" width="5.140625" style="3" customWidth="1"/>
    <col min="3329" max="3329" width="21.5703125" style="3" customWidth="1"/>
    <col min="3330" max="3330" width="19.140625" style="3" customWidth="1"/>
    <col min="3331" max="3347" width="9.140625" style="3" customWidth="1"/>
    <col min="3348" max="3583" width="9" style="3"/>
    <col min="3584" max="3584" width="5.140625" style="3" customWidth="1"/>
    <col min="3585" max="3585" width="21.5703125" style="3" customWidth="1"/>
    <col min="3586" max="3586" width="19.140625" style="3" customWidth="1"/>
    <col min="3587" max="3603" width="9.140625" style="3" customWidth="1"/>
    <col min="3604" max="3839" width="9" style="3"/>
    <col min="3840" max="3840" width="5.140625" style="3" customWidth="1"/>
    <col min="3841" max="3841" width="21.5703125" style="3" customWidth="1"/>
    <col min="3842" max="3842" width="19.140625" style="3" customWidth="1"/>
    <col min="3843" max="3859" width="9.140625" style="3" customWidth="1"/>
    <col min="3860" max="4095" width="9" style="3"/>
    <col min="4096" max="4096" width="5.140625" style="3" customWidth="1"/>
    <col min="4097" max="4097" width="21.5703125" style="3" customWidth="1"/>
    <col min="4098" max="4098" width="19.140625" style="3" customWidth="1"/>
    <col min="4099" max="4115" width="9.140625" style="3" customWidth="1"/>
    <col min="4116" max="4351" width="9" style="3"/>
    <col min="4352" max="4352" width="5.140625" style="3" customWidth="1"/>
    <col min="4353" max="4353" width="21.5703125" style="3" customWidth="1"/>
    <col min="4354" max="4354" width="19.140625" style="3" customWidth="1"/>
    <col min="4355" max="4371" width="9.140625" style="3" customWidth="1"/>
    <col min="4372" max="4607" width="9" style="3"/>
    <col min="4608" max="4608" width="5.140625" style="3" customWidth="1"/>
    <col min="4609" max="4609" width="21.5703125" style="3" customWidth="1"/>
    <col min="4610" max="4610" width="19.140625" style="3" customWidth="1"/>
    <col min="4611" max="4627" width="9.140625" style="3" customWidth="1"/>
    <col min="4628" max="4863" width="9" style="3"/>
    <col min="4864" max="4864" width="5.140625" style="3" customWidth="1"/>
    <col min="4865" max="4865" width="21.5703125" style="3" customWidth="1"/>
    <col min="4866" max="4866" width="19.140625" style="3" customWidth="1"/>
    <col min="4867" max="4883" width="9.140625" style="3" customWidth="1"/>
    <col min="4884" max="5119" width="9" style="3"/>
    <col min="5120" max="5120" width="5.140625" style="3" customWidth="1"/>
    <col min="5121" max="5121" width="21.5703125" style="3" customWidth="1"/>
    <col min="5122" max="5122" width="19.140625" style="3" customWidth="1"/>
    <col min="5123" max="5139" width="9.140625" style="3" customWidth="1"/>
    <col min="5140" max="5375" width="9" style="3"/>
    <col min="5376" max="5376" width="5.140625" style="3" customWidth="1"/>
    <col min="5377" max="5377" width="21.5703125" style="3" customWidth="1"/>
    <col min="5378" max="5378" width="19.140625" style="3" customWidth="1"/>
    <col min="5379" max="5395" width="9.140625" style="3" customWidth="1"/>
    <col min="5396" max="5631" width="9" style="3"/>
    <col min="5632" max="5632" width="5.140625" style="3" customWidth="1"/>
    <col min="5633" max="5633" width="21.5703125" style="3" customWidth="1"/>
    <col min="5634" max="5634" width="19.140625" style="3" customWidth="1"/>
    <col min="5635" max="5651" width="9.140625" style="3" customWidth="1"/>
    <col min="5652" max="5887" width="9" style="3"/>
    <col min="5888" max="5888" width="5.140625" style="3" customWidth="1"/>
    <col min="5889" max="5889" width="21.5703125" style="3" customWidth="1"/>
    <col min="5890" max="5890" width="19.140625" style="3" customWidth="1"/>
    <col min="5891" max="5907" width="9.140625" style="3" customWidth="1"/>
    <col min="5908" max="6143" width="9" style="3"/>
    <col min="6144" max="6144" width="5.140625" style="3" customWidth="1"/>
    <col min="6145" max="6145" width="21.5703125" style="3" customWidth="1"/>
    <col min="6146" max="6146" width="19.140625" style="3" customWidth="1"/>
    <col min="6147" max="6163" width="9.140625" style="3" customWidth="1"/>
    <col min="6164" max="6399" width="9" style="3"/>
    <col min="6400" max="6400" width="5.140625" style="3" customWidth="1"/>
    <col min="6401" max="6401" width="21.5703125" style="3" customWidth="1"/>
    <col min="6402" max="6402" width="19.140625" style="3" customWidth="1"/>
    <col min="6403" max="6419" width="9.140625" style="3" customWidth="1"/>
    <col min="6420" max="6655" width="9" style="3"/>
    <col min="6656" max="6656" width="5.140625" style="3" customWidth="1"/>
    <col min="6657" max="6657" width="21.5703125" style="3" customWidth="1"/>
    <col min="6658" max="6658" width="19.140625" style="3" customWidth="1"/>
    <col min="6659" max="6675" width="9.140625" style="3" customWidth="1"/>
    <col min="6676" max="6911" width="9" style="3"/>
    <col min="6912" max="6912" width="5.140625" style="3" customWidth="1"/>
    <col min="6913" max="6913" width="21.5703125" style="3" customWidth="1"/>
    <col min="6914" max="6914" width="19.140625" style="3" customWidth="1"/>
    <col min="6915" max="6931" width="9.140625" style="3" customWidth="1"/>
    <col min="6932" max="7167" width="9" style="3"/>
    <col min="7168" max="7168" width="5.140625" style="3" customWidth="1"/>
    <col min="7169" max="7169" width="21.5703125" style="3" customWidth="1"/>
    <col min="7170" max="7170" width="19.140625" style="3" customWidth="1"/>
    <col min="7171" max="7187" width="9.140625" style="3" customWidth="1"/>
    <col min="7188" max="7423" width="9" style="3"/>
    <col min="7424" max="7424" width="5.140625" style="3" customWidth="1"/>
    <col min="7425" max="7425" width="21.5703125" style="3" customWidth="1"/>
    <col min="7426" max="7426" width="19.140625" style="3" customWidth="1"/>
    <col min="7427" max="7443" width="9.140625" style="3" customWidth="1"/>
    <col min="7444" max="7679" width="9" style="3"/>
    <col min="7680" max="7680" width="5.140625" style="3" customWidth="1"/>
    <col min="7681" max="7681" width="21.5703125" style="3" customWidth="1"/>
    <col min="7682" max="7682" width="19.140625" style="3" customWidth="1"/>
    <col min="7683" max="7699" width="9.140625" style="3" customWidth="1"/>
    <col min="7700" max="7935" width="9" style="3"/>
    <col min="7936" max="7936" width="5.140625" style="3" customWidth="1"/>
    <col min="7937" max="7937" width="21.5703125" style="3" customWidth="1"/>
    <col min="7938" max="7938" width="19.140625" style="3" customWidth="1"/>
    <col min="7939" max="7955" width="9.140625" style="3" customWidth="1"/>
    <col min="7956" max="8191" width="9" style="3"/>
    <col min="8192" max="8192" width="5.140625" style="3" customWidth="1"/>
    <col min="8193" max="8193" width="21.5703125" style="3" customWidth="1"/>
    <col min="8194" max="8194" width="19.140625" style="3" customWidth="1"/>
    <col min="8195" max="8211" width="9.140625" style="3" customWidth="1"/>
    <col min="8212" max="8447" width="9" style="3"/>
    <col min="8448" max="8448" width="5.140625" style="3" customWidth="1"/>
    <col min="8449" max="8449" width="21.5703125" style="3" customWidth="1"/>
    <col min="8450" max="8450" width="19.140625" style="3" customWidth="1"/>
    <col min="8451" max="8467" width="9.140625" style="3" customWidth="1"/>
    <col min="8468" max="8703" width="9" style="3"/>
    <col min="8704" max="8704" width="5.140625" style="3" customWidth="1"/>
    <col min="8705" max="8705" width="21.5703125" style="3" customWidth="1"/>
    <col min="8706" max="8706" width="19.140625" style="3" customWidth="1"/>
    <col min="8707" max="8723" width="9.140625" style="3" customWidth="1"/>
    <col min="8724" max="8959" width="9" style="3"/>
    <col min="8960" max="8960" width="5.140625" style="3" customWidth="1"/>
    <col min="8961" max="8961" width="21.5703125" style="3" customWidth="1"/>
    <col min="8962" max="8962" width="19.140625" style="3" customWidth="1"/>
    <col min="8963" max="8979" width="9.140625" style="3" customWidth="1"/>
    <col min="8980" max="9215" width="9" style="3"/>
    <col min="9216" max="9216" width="5.140625" style="3" customWidth="1"/>
    <col min="9217" max="9217" width="21.5703125" style="3" customWidth="1"/>
    <col min="9218" max="9218" width="19.140625" style="3" customWidth="1"/>
    <col min="9219" max="9235" width="9.140625" style="3" customWidth="1"/>
    <col min="9236" max="9471" width="9" style="3"/>
    <col min="9472" max="9472" width="5.140625" style="3" customWidth="1"/>
    <col min="9473" max="9473" width="21.5703125" style="3" customWidth="1"/>
    <col min="9474" max="9474" width="19.140625" style="3" customWidth="1"/>
    <col min="9475" max="9491" width="9.140625" style="3" customWidth="1"/>
    <col min="9492" max="9727" width="9" style="3"/>
    <col min="9728" max="9728" width="5.140625" style="3" customWidth="1"/>
    <col min="9729" max="9729" width="21.5703125" style="3" customWidth="1"/>
    <col min="9730" max="9730" width="19.140625" style="3" customWidth="1"/>
    <col min="9731" max="9747" width="9.140625" style="3" customWidth="1"/>
    <col min="9748" max="9983" width="9" style="3"/>
    <col min="9984" max="9984" width="5.140625" style="3" customWidth="1"/>
    <col min="9985" max="9985" width="21.5703125" style="3" customWidth="1"/>
    <col min="9986" max="9986" width="19.140625" style="3" customWidth="1"/>
    <col min="9987" max="10003" width="9.140625" style="3" customWidth="1"/>
    <col min="10004" max="10239" width="9" style="3"/>
    <col min="10240" max="10240" width="5.140625" style="3" customWidth="1"/>
    <col min="10241" max="10241" width="21.5703125" style="3" customWidth="1"/>
    <col min="10242" max="10242" width="19.140625" style="3" customWidth="1"/>
    <col min="10243" max="10259" width="9.140625" style="3" customWidth="1"/>
    <col min="10260" max="10495" width="9" style="3"/>
    <col min="10496" max="10496" width="5.140625" style="3" customWidth="1"/>
    <col min="10497" max="10497" width="21.5703125" style="3" customWidth="1"/>
    <col min="10498" max="10498" width="19.140625" style="3" customWidth="1"/>
    <col min="10499" max="10515" width="9.140625" style="3" customWidth="1"/>
    <col min="10516" max="10751" width="9" style="3"/>
    <col min="10752" max="10752" width="5.140625" style="3" customWidth="1"/>
    <col min="10753" max="10753" width="21.5703125" style="3" customWidth="1"/>
    <col min="10754" max="10754" width="19.140625" style="3" customWidth="1"/>
    <col min="10755" max="10771" width="9.140625" style="3" customWidth="1"/>
    <col min="10772" max="11007" width="9" style="3"/>
    <col min="11008" max="11008" width="5.140625" style="3" customWidth="1"/>
    <col min="11009" max="11009" width="21.5703125" style="3" customWidth="1"/>
    <col min="11010" max="11010" width="19.140625" style="3" customWidth="1"/>
    <col min="11011" max="11027" width="9.140625" style="3" customWidth="1"/>
    <col min="11028" max="11263" width="9" style="3"/>
    <col min="11264" max="11264" width="5.140625" style="3" customWidth="1"/>
    <col min="11265" max="11265" width="21.5703125" style="3" customWidth="1"/>
    <col min="11266" max="11266" width="19.140625" style="3" customWidth="1"/>
    <col min="11267" max="11283" width="9.140625" style="3" customWidth="1"/>
    <col min="11284" max="11519" width="9" style="3"/>
    <col min="11520" max="11520" width="5.140625" style="3" customWidth="1"/>
    <col min="11521" max="11521" width="21.5703125" style="3" customWidth="1"/>
    <col min="11522" max="11522" width="19.140625" style="3" customWidth="1"/>
    <col min="11523" max="11539" width="9.140625" style="3" customWidth="1"/>
    <col min="11540" max="11775" width="9" style="3"/>
    <col min="11776" max="11776" width="5.140625" style="3" customWidth="1"/>
    <col min="11777" max="11777" width="21.5703125" style="3" customWidth="1"/>
    <col min="11778" max="11778" width="19.140625" style="3" customWidth="1"/>
    <col min="11779" max="11795" width="9.140625" style="3" customWidth="1"/>
    <col min="11796" max="12031" width="9" style="3"/>
    <col min="12032" max="12032" width="5.140625" style="3" customWidth="1"/>
    <col min="12033" max="12033" width="21.5703125" style="3" customWidth="1"/>
    <col min="12034" max="12034" width="19.140625" style="3" customWidth="1"/>
    <col min="12035" max="12051" width="9.140625" style="3" customWidth="1"/>
    <col min="12052" max="12287" width="9" style="3"/>
    <col min="12288" max="12288" width="5.140625" style="3" customWidth="1"/>
    <col min="12289" max="12289" width="21.5703125" style="3" customWidth="1"/>
    <col min="12290" max="12290" width="19.140625" style="3" customWidth="1"/>
    <col min="12291" max="12307" width="9.140625" style="3" customWidth="1"/>
    <col min="12308" max="12543" width="9" style="3"/>
    <col min="12544" max="12544" width="5.140625" style="3" customWidth="1"/>
    <col min="12545" max="12545" width="21.5703125" style="3" customWidth="1"/>
    <col min="12546" max="12546" width="19.140625" style="3" customWidth="1"/>
    <col min="12547" max="12563" width="9.140625" style="3" customWidth="1"/>
    <col min="12564" max="12799" width="9" style="3"/>
    <col min="12800" max="12800" width="5.140625" style="3" customWidth="1"/>
    <col min="12801" max="12801" width="21.5703125" style="3" customWidth="1"/>
    <col min="12802" max="12802" width="19.140625" style="3" customWidth="1"/>
    <col min="12803" max="12819" width="9.140625" style="3" customWidth="1"/>
    <col min="12820" max="13055" width="9" style="3"/>
    <col min="13056" max="13056" width="5.140625" style="3" customWidth="1"/>
    <col min="13057" max="13057" width="21.5703125" style="3" customWidth="1"/>
    <col min="13058" max="13058" width="19.140625" style="3" customWidth="1"/>
    <col min="13059" max="13075" width="9.140625" style="3" customWidth="1"/>
    <col min="13076" max="13311" width="9" style="3"/>
    <col min="13312" max="13312" width="5.140625" style="3" customWidth="1"/>
    <col min="13313" max="13313" width="21.5703125" style="3" customWidth="1"/>
    <col min="13314" max="13314" width="19.140625" style="3" customWidth="1"/>
    <col min="13315" max="13331" width="9.140625" style="3" customWidth="1"/>
    <col min="13332" max="13567" width="9" style="3"/>
    <col min="13568" max="13568" width="5.140625" style="3" customWidth="1"/>
    <col min="13569" max="13569" width="21.5703125" style="3" customWidth="1"/>
    <col min="13570" max="13570" width="19.140625" style="3" customWidth="1"/>
    <col min="13571" max="13587" width="9.140625" style="3" customWidth="1"/>
    <col min="13588" max="13823" width="9" style="3"/>
    <col min="13824" max="13824" width="5.140625" style="3" customWidth="1"/>
    <col min="13825" max="13825" width="21.5703125" style="3" customWidth="1"/>
    <col min="13826" max="13826" width="19.140625" style="3" customWidth="1"/>
    <col min="13827" max="13843" width="9.140625" style="3" customWidth="1"/>
    <col min="13844" max="14079" width="9" style="3"/>
    <col min="14080" max="14080" width="5.140625" style="3" customWidth="1"/>
    <col min="14081" max="14081" width="21.5703125" style="3" customWidth="1"/>
    <col min="14082" max="14082" width="19.140625" style="3" customWidth="1"/>
    <col min="14083" max="14099" width="9.140625" style="3" customWidth="1"/>
    <col min="14100" max="14335" width="9" style="3"/>
    <col min="14336" max="14336" width="5.140625" style="3" customWidth="1"/>
    <col min="14337" max="14337" width="21.5703125" style="3" customWidth="1"/>
    <col min="14338" max="14338" width="19.140625" style="3" customWidth="1"/>
    <col min="14339" max="14355" width="9.140625" style="3" customWidth="1"/>
    <col min="14356" max="14591" width="9" style="3"/>
    <col min="14592" max="14592" width="5.140625" style="3" customWidth="1"/>
    <col min="14593" max="14593" width="21.5703125" style="3" customWidth="1"/>
    <col min="14594" max="14594" width="19.140625" style="3" customWidth="1"/>
    <col min="14595" max="14611" width="9.140625" style="3" customWidth="1"/>
    <col min="14612" max="14847" width="9" style="3"/>
    <col min="14848" max="14848" width="5.140625" style="3" customWidth="1"/>
    <col min="14849" max="14849" width="21.5703125" style="3" customWidth="1"/>
    <col min="14850" max="14850" width="19.140625" style="3" customWidth="1"/>
    <col min="14851" max="14867" width="9.140625" style="3" customWidth="1"/>
    <col min="14868" max="15103" width="9" style="3"/>
    <col min="15104" max="15104" width="5.140625" style="3" customWidth="1"/>
    <col min="15105" max="15105" width="21.5703125" style="3" customWidth="1"/>
    <col min="15106" max="15106" width="19.140625" style="3" customWidth="1"/>
    <col min="15107" max="15123" width="9.140625" style="3" customWidth="1"/>
    <col min="15124" max="15359" width="9" style="3"/>
    <col min="15360" max="15360" width="5.140625" style="3" customWidth="1"/>
    <col min="15361" max="15361" width="21.5703125" style="3" customWidth="1"/>
    <col min="15362" max="15362" width="19.140625" style="3" customWidth="1"/>
    <col min="15363" max="15379" width="9.140625" style="3" customWidth="1"/>
    <col min="15380" max="15615" width="9" style="3"/>
    <col min="15616" max="15616" width="5.140625" style="3" customWidth="1"/>
    <col min="15617" max="15617" width="21.5703125" style="3" customWidth="1"/>
    <col min="15618" max="15618" width="19.140625" style="3" customWidth="1"/>
    <col min="15619" max="15635" width="9.140625" style="3" customWidth="1"/>
    <col min="15636" max="15871" width="9" style="3"/>
    <col min="15872" max="15872" width="5.140625" style="3" customWidth="1"/>
    <col min="15873" max="15873" width="21.5703125" style="3" customWidth="1"/>
    <col min="15874" max="15874" width="19.140625" style="3" customWidth="1"/>
    <col min="15875" max="15891" width="9.140625" style="3" customWidth="1"/>
    <col min="15892" max="16127" width="9" style="3"/>
    <col min="16128" max="16128" width="5.140625" style="3" customWidth="1"/>
    <col min="16129" max="16129" width="21.5703125" style="3" customWidth="1"/>
    <col min="16130" max="16130" width="19.140625" style="3" customWidth="1"/>
    <col min="16131" max="16147" width="9.140625" style="3" customWidth="1"/>
    <col min="16148" max="16384" width="9" style="3"/>
  </cols>
  <sheetData>
    <row r="1" spans="1:21" ht="34.5" thickBot="1" x14ac:dyDescent="0.3">
      <c r="A1" s="176" t="s">
        <v>69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8"/>
      <c r="T1" s="1"/>
      <c r="U1" s="1"/>
    </row>
    <row r="2" spans="1:21" ht="173.25" customHeight="1" thickBot="1" x14ac:dyDescent="0.3">
      <c r="A2" s="4" t="s">
        <v>0</v>
      </c>
      <c r="B2" s="5" t="s">
        <v>1</v>
      </c>
      <c r="C2" s="6" t="s">
        <v>2</v>
      </c>
      <c r="D2" s="7" t="s">
        <v>70</v>
      </c>
      <c r="E2" s="8" t="s">
        <v>71</v>
      </c>
      <c r="F2" s="7" t="s">
        <v>79</v>
      </c>
      <c r="G2" s="7" t="s">
        <v>80</v>
      </c>
      <c r="H2" s="7" t="s">
        <v>95</v>
      </c>
      <c r="I2" s="7" t="s">
        <v>94</v>
      </c>
      <c r="J2" s="8" t="s">
        <v>113</v>
      </c>
      <c r="K2" s="8" t="s">
        <v>114</v>
      </c>
      <c r="L2" s="8" t="s">
        <v>144</v>
      </c>
      <c r="M2" s="8" t="s">
        <v>145</v>
      </c>
      <c r="N2" s="8" t="s">
        <v>146</v>
      </c>
      <c r="O2" s="8" t="s">
        <v>148</v>
      </c>
      <c r="P2" s="8" t="s">
        <v>149</v>
      </c>
      <c r="Q2" s="7" t="s">
        <v>170</v>
      </c>
      <c r="R2" s="8" t="s">
        <v>171</v>
      </c>
      <c r="S2" s="9" t="s">
        <v>3</v>
      </c>
      <c r="T2" s="10"/>
      <c r="U2" s="10"/>
    </row>
    <row r="3" spans="1:21" x14ac:dyDescent="0.25">
      <c r="A3" s="80" t="s">
        <v>4</v>
      </c>
      <c r="B3" s="23" t="s">
        <v>46</v>
      </c>
      <c r="C3" s="24" t="s">
        <v>19</v>
      </c>
      <c r="D3" s="152" t="s">
        <v>12</v>
      </c>
      <c r="E3" s="16"/>
      <c r="F3" s="153">
        <f>100-(36.72-36.72)/36.72*50</f>
        <v>100</v>
      </c>
      <c r="G3" s="17">
        <f>100-(104.38-104.38)/104.38*50</f>
        <v>100</v>
      </c>
      <c r="H3" s="75">
        <f>100-(64.73-64.73)/64.73*50</f>
        <v>100</v>
      </c>
      <c r="I3" s="75">
        <f>100-(115.6-115.6)/115.6*50</f>
        <v>100</v>
      </c>
      <c r="J3" s="75">
        <f>100-(35.57-35.57)/35.57*50</f>
        <v>100</v>
      </c>
      <c r="K3" s="136">
        <f>100-(103.32-90.05)/90.05*50</f>
        <v>92.631871182676292</v>
      </c>
      <c r="L3" s="92"/>
      <c r="M3" s="92"/>
      <c r="N3" s="56"/>
      <c r="O3" s="17">
        <f>100-(45.38-45.38)/45.38*50</f>
        <v>100</v>
      </c>
      <c r="P3" s="17"/>
      <c r="Q3" s="136">
        <f>100-(53.58-50.37)/50.37*50</f>
        <v>96.813579511614051</v>
      </c>
      <c r="R3" s="154">
        <f>100-(40.55-40.55)/40.55*50</f>
        <v>100</v>
      </c>
      <c r="S3" s="69">
        <f>SUM(D3:R3)-K3-Q3</f>
        <v>700</v>
      </c>
    </row>
    <row r="4" spans="1:21" x14ac:dyDescent="0.25">
      <c r="A4" s="83" t="s">
        <v>6</v>
      </c>
      <c r="B4" s="23" t="s">
        <v>73</v>
      </c>
      <c r="C4" s="24" t="s">
        <v>74</v>
      </c>
      <c r="D4" s="117" t="s">
        <v>12</v>
      </c>
      <c r="E4" s="118"/>
      <c r="F4" s="19">
        <f>100-(55.37-36.72)/36.72*50</f>
        <v>74.605119825708059</v>
      </c>
      <c r="G4" s="121" t="s">
        <v>12</v>
      </c>
      <c r="H4" s="18">
        <f>100-(65.78-64.73)/64.73*50</f>
        <v>99.188938668314535</v>
      </c>
      <c r="I4" s="18">
        <f>100-(127.32-115.6)/115.6*50</f>
        <v>94.930795847750858</v>
      </c>
      <c r="J4" s="99"/>
      <c r="K4" s="18"/>
      <c r="L4" s="34"/>
      <c r="M4" s="18"/>
      <c r="N4" s="18"/>
      <c r="O4" s="34"/>
      <c r="P4" s="34"/>
      <c r="Q4" s="34"/>
      <c r="R4" s="155"/>
      <c r="S4" s="69">
        <f t="shared" ref="S4:S10" si="0">SUM(D4:R4)</f>
        <v>268.72485434177344</v>
      </c>
    </row>
    <row r="5" spans="1:21" x14ac:dyDescent="0.25">
      <c r="A5" s="83" t="s">
        <v>8</v>
      </c>
      <c r="B5" s="23" t="s">
        <v>124</v>
      </c>
      <c r="C5" s="24" t="s">
        <v>126</v>
      </c>
      <c r="D5" s="31"/>
      <c r="E5" s="36"/>
      <c r="F5" s="36"/>
      <c r="G5" s="67"/>
      <c r="H5" s="21"/>
      <c r="I5" s="21"/>
      <c r="J5" s="18">
        <f>100-(37.58-35.57)/35.57*50</f>
        <v>97.174585324711842</v>
      </c>
      <c r="K5" s="18">
        <f>100-(90.05-90.05)/90.05*50</f>
        <v>100</v>
      </c>
      <c r="L5" s="37"/>
      <c r="M5" s="37"/>
      <c r="N5" s="21"/>
      <c r="O5" s="21"/>
      <c r="P5" s="18"/>
      <c r="Q5" s="18"/>
      <c r="R5" s="24"/>
      <c r="S5" s="69">
        <f t="shared" si="0"/>
        <v>197.17458532471184</v>
      </c>
    </row>
    <row r="6" spans="1:21" x14ac:dyDescent="0.25">
      <c r="A6" s="83" t="s">
        <v>11</v>
      </c>
      <c r="B6" s="23" t="s">
        <v>89</v>
      </c>
      <c r="C6" s="24" t="s">
        <v>84</v>
      </c>
      <c r="D6" s="31"/>
      <c r="E6" s="36"/>
      <c r="F6" s="166"/>
      <c r="G6" s="36"/>
      <c r="H6" s="18"/>
      <c r="I6" s="18"/>
      <c r="J6" s="76"/>
      <c r="K6" s="18"/>
      <c r="L6" s="18"/>
      <c r="M6" s="34"/>
      <c r="N6" s="18"/>
      <c r="O6" s="34"/>
      <c r="P6" s="18"/>
      <c r="Q6" s="18">
        <f>100-(51.93-50.37)/50.37*50</f>
        <v>98.451459201905891</v>
      </c>
      <c r="R6" s="155">
        <f>100-(43.97-40.55)/40.55*50</f>
        <v>95.782983970406903</v>
      </c>
      <c r="S6" s="69">
        <f t="shared" si="0"/>
        <v>194.23444317231281</v>
      </c>
    </row>
    <row r="7" spans="1:21" x14ac:dyDescent="0.25">
      <c r="A7" s="83" t="s">
        <v>13</v>
      </c>
      <c r="B7" s="23" t="s">
        <v>173</v>
      </c>
      <c r="C7" s="24" t="s">
        <v>7</v>
      </c>
      <c r="D7" s="31"/>
      <c r="E7" s="36"/>
      <c r="F7" s="36"/>
      <c r="G7" s="67"/>
      <c r="H7" s="21"/>
      <c r="I7" s="21"/>
      <c r="J7" s="18"/>
      <c r="K7" s="18"/>
      <c r="L7" s="37"/>
      <c r="M7" s="37"/>
      <c r="N7" s="21"/>
      <c r="O7" s="21"/>
      <c r="P7" s="18"/>
      <c r="Q7" s="18">
        <f>100-(50.37-50.37)/50.37*50</f>
        <v>100</v>
      </c>
      <c r="R7" s="155">
        <f>100-(51.37-40.55)/40.55*50</f>
        <v>86.658446362515406</v>
      </c>
      <c r="S7" s="69">
        <f t="shared" si="0"/>
        <v>186.65844636251541</v>
      </c>
    </row>
    <row r="8" spans="1:21" x14ac:dyDescent="0.25">
      <c r="A8" s="83" t="s">
        <v>15</v>
      </c>
      <c r="B8" s="23" t="s">
        <v>174</v>
      </c>
      <c r="C8" s="24" t="s">
        <v>39</v>
      </c>
      <c r="D8" s="31"/>
      <c r="E8" s="36"/>
      <c r="F8" s="36"/>
      <c r="G8" s="67"/>
      <c r="H8" s="21"/>
      <c r="I8" s="21"/>
      <c r="J8" s="18"/>
      <c r="K8" s="18"/>
      <c r="L8" s="37"/>
      <c r="M8" s="37"/>
      <c r="N8" s="21"/>
      <c r="O8" s="21"/>
      <c r="P8" s="18"/>
      <c r="Q8" s="18">
        <f>100-(95.82-50.37)/50.37*50</f>
        <v>54.883859440142949</v>
      </c>
      <c r="R8" s="155">
        <f>100-(89.22-40.55)/40.55*50</f>
        <v>39.987669543773109</v>
      </c>
      <c r="S8" s="69">
        <f t="shared" si="0"/>
        <v>94.87152898391605</v>
      </c>
    </row>
    <row r="9" spans="1:21" x14ac:dyDescent="0.25">
      <c r="A9" s="147" t="s">
        <v>18</v>
      </c>
      <c r="B9" s="23" t="s">
        <v>44</v>
      </c>
      <c r="C9" s="24" t="s">
        <v>19</v>
      </c>
      <c r="D9" s="31"/>
      <c r="E9" s="36"/>
      <c r="F9" s="36"/>
      <c r="G9" s="67"/>
      <c r="H9" s="21"/>
      <c r="I9" s="21"/>
      <c r="J9" s="18">
        <f>100-(39.65-35.57)/35.57*50</f>
        <v>94.264829912847901</v>
      </c>
      <c r="K9" s="18"/>
      <c r="L9" s="37"/>
      <c r="M9" s="37"/>
      <c r="N9" s="21"/>
      <c r="O9" s="21"/>
      <c r="P9" s="18"/>
      <c r="Q9" s="21"/>
      <c r="R9" s="24"/>
      <c r="S9" s="69">
        <f t="shared" si="0"/>
        <v>94.264829912847901</v>
      </c>
    </row>
    <row r="10" spans="1:21" ht="15.75" thickBot="1" x14ac:dyDescent="0.3">
      <c r="A10" s="39" t="s">
        <v>20</v>
      </c>
      <c r="B10" s="87" t="s">
        <v>125</v>
      </c>
      <c r="C10" s="88" t="s">
        <v>19</v>
      </c>
      <c r="D10" s="89"/>
      <c r="E10" s="90"/>
      <c r="F10" s="46"/>
      <c r="G10" s="167"/>
      <c r="H10" s="104"/>
      <c r="I10" s="104"/>
      <c r="J10" s="46">
        <f>100-(44.03-35.57)/35.57*50</f>
        <v>88.107956142816974</v>
      </c>
      <c r="K10" s="46"/>
      <c r="L10" s="167"/>
      <c r="M10" s="167"/>
      <c r="N10" s="104"/>
      <c r="O10" s="104"/>
      <c r="P10" s="46"/>
      <c r="Q10" s="61"/>
      <c r="R10" s="41"/>
      <c r="S10" s="47">
        <f t="shared" si="0"/>
        <v>88.107956142816974</v>
      </c>
    </row>
    <row r="11" spans="1:21" x14ac:dyDescent="0.25">
      <c r="A11" s="2"/>
      <c r="B11" s="2"/>
      <c r="C11" s="2"/>
      <c r="D11" s="48"/>
      <c r="E11" s="48"/>
      <c r="F11" s="49"/>
      <c r="G11" s="48"/>
      <c r="H11" s="48"/>
      <c r="I11" s="48"/>
      <c r="J11" s="48"/>
      <c r="K11" s="48"/>
      <c r="L11" s="48"/>
      <c r="M11" s="49"/>
      <c r="N11" s="48"/>
      <c r="O11" s="49"/>
      <c r="P11" s="49"/>
      <c r="Q11" s="49"/>
      <c r="R11" s="49"/>
      <c r="S11" s="51"/>
    </row>
    <row r="12" spans="1:21" x14ac:dyDescent="0.25">
      <c r="A12" s="2"/>
      <c r="B12" s="2"/>
      <c r="C12" s="2"/>
      <c r="D12" s="48"/>
      <c r="E12" s="48"/>
      <c r="F12" s="49"/>
      <c r="G12" s="48"/>
      <c r="H12" s="48"/>
      <c r="I12" s="48"/>
      <c r="J12" s="48"/>
      <c r="K12" s="48"/>
      <c r="L12" s="48"/>
      <c r="M12" s="49"/>
      <c r="N12" s="48"/>
      <c r="O12" s="49"/>
      <c r="P12" s="49"/>
      <c r="Q12" s="49"/>
      <c r="R12" s="49"/>
      <c r="S12" s="51"/>
    </row>
    <row r="13" spans="1:21" x14ac:dyDescent="0.25">
      <c r="A13" s="2"/>
      <c r="B13" s="2"/>
      <c r="C13" s="2"/>
      <c r="D13" s="52"/>
      <c r="E13" s="2"/>
      <c r="F13" s="52"/>
      <c r="G13" s="2"/>
      <c r="H13" s="2"/>
      <c r="I13" s="2"/>
      <c r="J13" s="52"/>
      <c r="K13" s="52"/>
      <c r="L13" s="2"/>
      <c r="M13" s="85"/>
      <c r="N13" s="2"/>
      <c r="O13" s="2"/>
      <c r="P13" s="2"/>
      <c r="Q13" s="2"/>
      <c r="R13" s="2"/>
      <c r="S13" s="2"/>
    </row>
    <row r="14" spans="1:21" s="53" customFormat="1" x14ac:dyDescent="0.25">
      <c r="A14" s="53" t="s">
        <v>36</v>
      </c>
    </row>
    <row r="15" spans="1:21" s="54" customFormat="1" x14ac:dyDescent="0.25">
      <c r="A15" s="54" t="s">
        <v>37</v>
      </c>
    </row>
    <row r="16" spans="1:21" x14ac:dyDescent="0.25">
      <c r="A16" s="2"/>
      <c r="B16" s="2"/>
      <c r="C16" s="2"/>
      <c r="D16" s="2"/>
      <c r="E16" s="2"/>
      <c r="F16" s="5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x14ac:dyDescent="0.25">
      <c r="A17" s="2"/>
      <c r="B17" s="2"/>
      <c r="C17" s="2"/>
      <c r="D17" s="2"/>
      <c r="E17" s="2"/>
      <c r="F17" s="5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x14ac:dyDescent="0.25">
      <c r="A18" s="2"/>
      <c r="B18" s="2"/>
      <c r="C18" s="2"/>
      <c r="D18" s="2"/>
      <c r="E18" s="2"/>
      <c r="F18" s="5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x14ac:dyDescent="0.25">
      <c r="A19" s="2"/>
      <c r="B19" s="2"/>
      <c r="C19" s="2"/>
      <c r="D19" s="2"/>
      <c r="E19" s="2"/>
      <c r="F19" s="5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25">
      <c r="A20" s="2"/>
      <c r="B20" s="2"/>
      <c r="C20" s="2"/>
      <c r="D20" s="2"/>
      <c r="E20" s="2"/>
      <c r="F20" s="5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x14ac:dyDescent="0.25">
      <c r="A21" s="2"/>
      <c r="B21" s="2"/>
      <c r="C21" s="2"/>
      <c r="D21" s="2"/>
      <c r="E21" s="2"/>
      <c r="F21" s="5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2" customFormat="1" x14ac:dyDescent="0.25">
      <c r="F22" s="52"/>
    </row>
    <row r="23" spans="1:19" s="2" customFormat="1" x14ac:dyDescent="0.25">
      <c r="F23" s="52"/>
    </row>
    <row r="24" spans="1:19" s="2" customFormat="1" x14ac:dyDescent="0.25">
      <c r="F24" s="52"/>
    </row>
    <row r="25" spans="1:19" s="2" customFormat="1" x14ac:dyDescent="0.25">
      <c r="F25" s="52"/>
    </row>
    <row r="26" spans="1:19" s="2" customFormat="1" x14ac:dyDescent="0.25">
      <c r="F26" s="52"/>
    </row>
    <row r="27" spans="1:19" s="2" customFormat="1" x14ac:dyDescent="0.25">
      <c r="F27" s="52"/>
    </row>
    <row r="28" spans="1:19" s="2" customFormat="1" x14ac:dyDescent="0.25">
      <c r="F28" s="52"/>
    </row>
    <row r="29" spans="1:19" s="2" customFormat="1" x14ac:dyDescent="0.25">
      <c r="F29" s="52"/>
    </row>
    <row r="30" spans="1:19" s="2" customFormat="1" x14ac:dyDescent="0.25">
      <c r="F30" s="52"/>
    </row>
    <row r="31" spans="1:19" s="2" customFormat="1" x14ac:dyDescent="0.25">
      <c r="F31" s="52"/>
    </row>
    <row r="32" spans="1:19" s="2" customFormat="1" x14ac:dyDescent="0.25">
      <c r="F32" s="52"/>
    </row>
    <row r="33" spans="6:6" s="2" customFormat="1" x14ac:dyDescent="0.25">
      <c r="F33" s="52"/>
    </row>
    <row r="34" spans="6:6" s="2" customFormat="1" x14ac:dyDescent="0.25">
      <c r="F34" s="52"/>
    </row>
    <row r="35" spans="6:6" s="2" customFormat="1" x14ac:dyDescent="0.25">
      <c r="F35" s="52"/>
    </row>
    <row r="36" spans="6:6" s="2" customFormat="1" x14ac:dyDescent="0.25">
      <c r="F36" s="52"/>
    </row>
    <row r="37" spans="6:6" s="2" customFormat="1" x14ac:dyDescent="0.25">
      <c r="F37" s="52"/>
    </row>
    <row r="38" spans="6:6" s="2" customFormat="1" x14ac:dyDescent="0.25">
      <c r="F38" s="52"/>
    </row>
    <row r="39" spans="6:6" s="2" customFormat="1" x14ac:dyDescent="0.25">
      <c r="F39" s="52"/>
    </row>
  </sheetData>
  <sortState ref="B3:S10">
    <sortCondition descending="1" ref="S3"/>
  </sortState>
  <mergeCells count="1">
    <mergeCell ref="A1:S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workbookViewId="0">
      <selection activeCell="A10" sqref="A10"/>
    </sheetView>
  </sheetViews>
  <sheetFormatPr defaultColWidth="9" defaultRowHeight="15" x14ac:dyDescent="0.25"/>
  <cols>
    <col min="1" max="1" width="5.140625" style="3" customWidth="1"/>
    <col min="2" max="2" width="25.85546875" style="3" customWidth="1"/>
    <col min="3" max="3" width="11.85546875" style="3" customWidth="1"/>
    <col min="4" max="5" width="9.140625" style="3" customWidth="1"/>
    <col min="6" max="6" width="9.140625" style="55" customWidth="1"/>
    <col min="7" max="19" width="9.140625" style="3" customWidth="1"/>
    <col min="20" max="29" width="9" style="2"/>
    <col min="30" max="255" width="9" style="3"/>
    <col min="256" max="256" width="5.140625" style="3" customWidth="1"/>
    <col min="257" max="257" width="25.85546875" style="3" customWidth="1"/>
    <col min="258" max="258" width="11.85546875" style="3" customWidth="1"/>
    <col min="259" max="275" width="9.140625" style="3" customWidth="1"/>
    <col min="276" max="511" width="9" style="3"/>
    <col min="512" max="512" width="5.140625" style="3" customWidth="1"/>
    <col min="513" max="513" width="25.85546875" style="3" customWidth="1"/>
    <col min="514" max="514" width="11.85546875" style="3" customWidth="1"/>
    <col min="515" max="531" width="9.140625" style="3" customWidth="1"/>
    <col min="532" max="767" width="9" style="3"/>
    <col min="768" max="768" width="5.140625" style="3" customWidth="1"/>
    <col min="769" max="769" width="25.85546875" style="3" customWidth="1"/>
    <col min="770" max="770" width="11.85546875" style="3" customWidth="1"/>
    <col min="771" max="787" width="9.140625" style="3" customWidth="1"/>
    <col min="788" max="1023" width="9" style="3"/>
    <col min="1024" max="1024" width="5.140625" style="3" customWidth="1"/>
    <col min="1025" max="1025" width="25.85546875" style="3" customWidth="1"/>
    <col min="1026" max="1026" width="11.85546875" style="3" customWidth="1"/>
    <col min="1027" max="1043" width="9.140625" style="3" customWidth="1"/>
    <col min="1044" max="1279" width="9" style="3"/>
    <col min="1280" max="1280" width="5.140625" style="3" customWidth="1"/>
    <col min="1281" max="1281" width="25.85546875" style="3" customWidth="1"/>
    <col min="1282" max="1282" width="11.85546875" style="3" customWidth="1"/>
    <col min="1283" max="1299" width="9.140625" style="3" customWidth="1"/>
    <col min="1300" max="1535" width="9" style="3"/>
    <col min="1536" max="1536" width="5.140625" style="3" customWidth="1"/>
    <col min="1537" max="1537" width="25.85546875" style="3" customWidth="1"/>
    <col min="1538" max="1538" width="11.85546875" style="3" customWidth="1"/>
    <col min="1539" max="1555" width="9.140625" style="3" customWidth="1"/>
    <col min="1556" max="1791" width="9" style="3"/>
    <col min="1792" max="1792" width="5.140625" style="3" customWidth="1"/>
    <col min="1793" max="1793" width="25.85546875" style="3" customWidth="1"/>
    <col min="1794" max="1794" width="11.85546875" style="3" customWidth="1"/>
    <col min="1795" max="1811" width="9.140625" style="3" customWidth="1"/>
    <col min="1812" max="2047" width="9" style="3"/>
    <col min="2048" max="2048" width="5.140625" style="3" customWidth="1"/>
    <col min="2049" max="2049" width="25.85546875" style="3" customWidth="1"/>
    <col min="2050" max="2050" width="11.85546875" style="3" customWidth="1"/>
    <col min="2051" max="2067" width="9.140625" style="3" customWidth="1"/>
    <col min="2068" max="2303" width="9" style="3"/>
    <col min="2304" max="2304" width="5.140625" style="3" customWidth="1"/>
    <col min="2305" max="2305" width="25.85546875" style="3" customWidth="1"/>
    <col min="2306" max="2306" width="11.85546875" style="3" customWidth="1"/>
    <col min="2307" max="2323" width="9.140625" style="3" customWidth="1"/>
    <col min="2324" max="2559" width="9" style="3"/>
    <col min="2560" max="2560" width="5.140625" style="3" customWidth="1"/>
    <col min="2561" max="2561" width="25.85546875" style="3" customWidth="1"/>
    <col min="2562" max="2562" width="11.85546875" style="3" customWidth="1"/>
    <col min="2563" max="2579" width="9.140625" style="3" customWidth="1"/>
    <col min="2580" max="2815" width="9" style="3"/>
    <col min="2816" max="2816" width="5.140625" style="3" customWidth="1"/>
    <col min="2817" max="2817" width="25.85546875" style="3" customWidth="1"/>
    <col min="2818" max="2818" width="11.85546875" style="3" customWidth="1"/>
    <col min="2819" max="2835" width="9.140625" style="3" customWidth="1"/>
    <col min="2836" max="3071" width="9" style="3"/>
    <col min="3072" max="3072" width="5.140625" style="3" customWidth="1"/>
    <col min="3073" max="3073" width="25.85546875" style="3" customWidth="1"/>
    <col min="3074" max="3074" width="11.85546875" style="3" customWidth="1"/>
    <col min="3075" max="3091" width="9.140625" style="3" customWidth="1"/>
    <col min="3092" max="3327" width="9" style="3"/>
    <col min="3328" max="3328" width="5.140625" style="3" customWidth="1"/>
    <col min="3329" max="3329" width="25.85546875" style="3" customWidth="1"/>
    <col min="3330" max="3330" width="11.85546875" style="3" customWidth="1"/>
    <col min="3331" max="3347" width="9.140625" style="3" customWidth="1"/>
    <col min="3348" max="3583" width="9" style="3"/>
    <col min="3584" max="3584" width="5.140625" style="3" customWidth="1"/>
    <col min="3585" max="3585" width="25.85546875" style="3" customWidth="1"/>
    <col min="3586" max="3586" width="11.85546875" style="3" customWidth="1"/>
    <col min="3587" max="3603" width="9.140625" style="3" customWidth="1"/>
    <col min="3604" max="3839" width="9" style="3"/>
    <col min="3840" max="3840" width="5.140625" style="3" customWidth="1"/>
    <col min="3841" max="3841" width="25.85546875" style="3" customWidth="1"/>
    <col min="3842" max="3842" width="11.85546875" style="3" customWidth="1"/>
    <col min="3843" max="3859" width="9.140625" style="3" customWidth="1"/>
    <col min="3860" max="4095" width="9" style="3"/>
    <col min="4096" max="4096" width="5.140625" style="3" customWidth="1"/>
    <col min="4097" max="4097" width="25.85546875" style="3" customWidth="1"/>
    <col min="4098" max="4098" width="11.85546875" style="3" customWidth="1"/>
    <col min="4099" max="4115" width="9.140625" style="3" customWidth="1"/>
    <col min="4116" max="4351" width="9" style="3"/>
    <col min="4352" max="4352" width="5.140625" style="3" customWidth="1"/>
    <col min="4353" max="4353" width="25.85546875" style="3" customWidth="1"/>
    <col min="4354" max="4354" width="11.85546875" style="3" customWidth="1"/>
    <col min="4355" max="4371" width="9.140625" style="3" customWidth="1"/>
    <col min="4372" max="4607" width="9" style="3"/>
    <col min="4608" max="4608" width="5.140625" style="3" customWidth="1"/>
    <col min="4609" max="4609" width="25.85546875" style="3" customWidth="1"/>
    <col min="4610" max="4610" width="11.85546875" style="3" customWidth="1"/>
    <col min="4611" max="4627" width="9.140625" style="3" customWidth="1"/>
    <col min="4628" max="4863" width="9" style="3"/>
    <col min="4864" max="4864" width="5.140625" style="3" customWidth="1"/>
    <col min="4865" max="4865" width="25.85546875" style="3" customWidth="1"/>
    <col min="4866" max="4866" width="11.85546875" style="3" customWidth="1"/>
    <col min="4867" max="4883" width="9.140625" style="3" customWidth="1"/>
    <col min="4884" max="5119" width="9" style="3"/>
    <col min="5120" max="5120" width="5.140625" style="3" customWidth="1"/>
    <col min="5121" max="5121" width="25.85546875" style="3" customWidth="1"/>
    <col min="5122" max="5122" width="11.85546875" style="3" customWidth="1"/>
    <col min="5123" max="5139" width="9.140625" style="3" customWidth="1"/>
    <col min="5140" max="5375" width="9" style="3"/>
    <col min="5376" max="5376" width="5.140625" style="3" customWidth="1"/>
    <col min="5377" max="5377" width="25.85546875" style="3" customWidth="1"/>
    <col min="5378" max="5378" width="11.85546875" style="3" customWidth="1"/>
    <col min="5379" max="5395" width="9.140625" style="3" customWidth="1"/>
    <col min="5396" max="5631" width="9" style="3"/>
    <col min="5632" max="5632" width="5.140625" style="3" customWidth="1"/>
    <col min="5633" max="5633" width="25.85546875" style="3" customWidth="1"/>
    <col min="5634" max="5634" width="11.85546875" style="3" customWidth="1"/>
    <col min="5635" max="5651" width="9.140625" style="3" customWidth="1"/>
    <col min="5652" max="5887" width="9" style="3"/>
    <col min="5888" max="5888" width="5.140625" style="3" customWidth="1"/>
    <col min="5889" max="5889" width="25.85546875" style="3" customWidth="1"/>
    <col min="5890" max="5890" width="11.85546875" style="3" customWidth="1"/>
    <col min="5891" max="5907" width="9.140625" style="3" customWidth="1"/>
    <col min="5908" max="6143" width="9" style="3"/>
    <col min="6144" max="6144" width="5.140625" style="3" customWidth="1"/>
    <col min="6145" max="6145" width="25.85546875" style="3" customWidth="1"/>
    <col min="6146" max="6146" width="11.85546875" style="3" customWidth="1"/>
    <col min="6147" max="6163" width="9.140625" style="3" customWidth="1"/>
    <col min="6164" max="6399" width="9" style="3"/>
    <col min="6400" max="6400" width="5.140625" style="3" customWidth="1"/>
    <col min="6401" max="6401" width="25.85546875" style="3" customWidth="1"/>
    <col min="6402" max="6402" width="11.85546875" style="3" customWidth="1"/>
    <col min="6403" max="6419" width="9.140625" style="3" customWidth="1"/>
    <col min="6420" max="6655" width="9" style="3"/>
    <col min="6656" max="6656" width="5.140625" style="3" customWidth="1"/>
    <col min="6657" max="6657" width="25.85546875" style="3" customWidth="1"/>
    <col min="6658" max="6658" width="11.85546875" style="3" customWidth="1"/>
    <col min="6659" max="6675" width="9.140625" style="3" customWidth="1"/>
    <col min="6676" max="6911" width="9" style="3"/>
    <col min="6912" max="6912" width="5.140625" style="3" customWidth="1"/>
    <col min="6913" max="6913" width="25.85546875" style="3" customWidth="1"/>
    <col min="6914" max="6914" width="11.85546875" style="3" customWidth="1"/>
    <col min="6915" max="6931" width="9.140625" style="3" customWidth="1"/>
    <col min="6932" max="7167" width="9" style="3"/>
    <col min="7168" max="7168" width="5.140625" style="3" customWidth="1"/>
    <col min="7169" max="7169" width="25.85546875" style="3" customWidth="1"/>
    <col min="7170" max="7170" width="11.85546875" style="3" customWidth="1"/>
    <col min="7171" max="7187" width="9.140625" style="3" customWidth="1"/>
    <col min="7188" max="7423" width="9" style="3"/>
    <col min="7424" max="7424" width="5.140625" style="3" customWidth="1"/>
    <col min="7425" max="7425" width="25.85546875" style="3" customWidth="1"/>
    <col min="7426" max="7426" width="11.85546875" style="3" customWidth="1"/>
    <col min="7427" max="7443" width="9.140625" style="3" customWidth="1"/>
    <col min="7444" max="7679" width="9" style="3"/>
    <col min="7680" max="7680" width="5.140625" style="3" customWidth="1"/>
    <col min="7681" max="7681" width="25.85546875" style="3" customWidth="1"/>
    <col min="7682" max="7682" width="11.85546875" style="3" customWidth="1"/>
    <col min="7683" max="7699" width="9.140625" style="3" customWidth="1"/>
    <col min="7700" max="7935" width="9" style="3"/>
    <col min="7936" max="7936" width="5.140625" style="3" customWidth="1"/>
    <col min="7937" max="7937" width="25.85546875" style="3" customWidth="1"/>
    <col min="7938" max="7938" width="11.85546875" style="3" customWidth="1"/>
    <col min="7939" max="7955" width="9.140625" style="3" customWidth="1"/>
    <col min="7956" max="8191" width="9" style="3"/>
    <col min="8192" max="8192" width="5.140625" style="3" customWidth="1"/>
    <col min="8193" max="8193" width="25.85546875" style="3" customWidth="1"/>
    <col min="8194" max="8194" width="11.85546875" style="3" customWidth="1"/>
    <col min="8195" max="8211" width="9.140625" style="3" customWidth="1"/>
    <col min="8212" max="8447" width="9" style="3"/>
    <col min="8448" max="8448" width="5.140625" style="3" customWidth="1"/>
    <col min="8449" max="8449" width="25.85546875" style="3" customWidth="1"/>
    <col min="8450" max="8450" width="11.85546875" style="3" customWidth="1"/>
    <col min="8451" max="8467" width="9.140625" style="3" customWidth="1"/>
    <col min="8468" max="8703" width="9" style="3"/>
    <col min="8704" max="8704" width="5.140625" style="3" customWidth="1"/>
    <col min="8705" max="8705" width="25.85546875" style="3" customWidth="1"/>
    <col min="8706" max="8706" width="11.85546875" style="3" customWidth="1"/>
    <col min="8707" max="8723" width="9.140625" style="3" customWidth="1"/>
    <col min="8724" max="8959" width="9" style="3"/>
    <col min="8960" max="8960" width="5.140625" style="3" customWidth="1"/>
    <col min="8961" max="8961" width="25.85546875" style="3" customWidth="1"/>
    <col min="8962" max="8962" width="11.85546875" style="3" customWidth="1"/>
    <col min="8963" max="8979" width="9.140625" style="3" customWidth="1"/>
    <col min="8980" max="9215" width="9" style="3"/>
    <col min="9216" max="9216" width="5.140625" style="3" customWidth="1"/>
    <col min="9217" max="9217" width="25.85546875" style="3" customWidth="1"/>
    <col min="9218" max="9218" width="11.85546875" style="3" customWidth="1"/>
    <col min="9219" max="9235" width="9.140625" style="3" customWidth="1"/>
    <col min="9236" max="9471" width="9" style="3"/>
    <col min="9472" max="9472" width="5.140625" style="3" customWidth="1"/>
    <col min="9473" max="9473" width="25.85546875" style="3" customWidth="1"/>
    <col min="9474" max="9474" width="11.85546875" style="3" customWidth="1"/>
    <col min="9475" max="9491" width="9.140625" style="3" customWidth="1"/>
    <col min="9492" max="9727" width="9" style="3"/>
    <col min="9728" max="9728" width="5.140625" style="3" customWidth="1"/>
    <col min="9729" max="9729" width="25.85546875" style="3" customWidth="1"/>
    <col min="9730" max="9730" width="11.85546875" style="3" customWidth="1"/>
    <col min="9731" max="9747" width="9.140625" style="3" customWidth="1"/>
    <col min="9748" max="9983" width="9" style="3"/>
    <col min="9984" max="9984" width="5.140625" style="3" customWidth="1"/>
    <col min="9985" max="9985" width="25.85546875" style="3" customWidth="1"/>
    <col min="9986" max="9986" width="11.85546875" style="3" customWidth="1"/>
    <col min="9987" max="10003" width="9.140625" style="3" customWidth="1"/>
    <col min="10004" max="10239" width="9" style="3"/>
    <col min="10240" max="10240" width="5.140625" style="3" customWidth="1"/>
    <col min="10241" max="10241" width="25.85546875" style="3" customWidth="1"/>
    <col min="10242" max="10242" width="11.85546875" style="3" customWidth="1"/>
    <col min="10243" max="10259" width="9.140625" style="3" customWidth="1"/>
    <col min="10260" max="10495" width="9" style="3"/>
    <col min="10496" max="10496" width="5.140625" style="3" customWidth="1"/>
    <col min="10497" max="10497" width="25.85546875" style="3" customWidth="1"/>
    <col min="10498" max="10498" width="11.85546875" style="3" customWidth="1"/>
    <col min="10499" max="10515" width="9.140625" style="3" customWidth="1"/>
    <col min="10516" max="10751" width="9" style="3"/>
    <col min="10752" max="10752" width="5.140625" style="3" customWidth="1"/>
    <col min="10753" max="10753" width="25.85546875" style="3" customWidth="1"/>
    <col min="10754" max="10754" width="11.85546875" style="3" customWidth="1"/>
    <col min="10755" max="10771" width="9.140625" style="3" customWidth="1"/>
    <col min="10772" max="11007" width="9" style="3"/>
    <col min="11008" max="11008" width="5.140625" style="3" customWidth="1"/>
    <col min="11009" max="11009" width="25.85546875" style="3" customWidth="1"/>
    <col min="11010" max="11010" width="11.85546875" style="3" customWidth="1"/>
    <col min="11011" max="11027" width="9.140625" style="3" customWidth="1"/>
    <col min="11028" max="11263" width="9" style="3"/>
    <col min="11264" max="11264" width="5.140625" style="3" customWidth="1"/>
    <col min="11265" max="11265" width="25.85546875" style="3" customWidth="1"/>
    <col min="11266" max="11266" width="11.85546875" style="3" customWidth="1"/>
    <col min="11267" max="11283" width="9.140625" style="3" customWidth="1"/>
    <col min="11284" max="11519" width="9" style="3"/>
    <col min="11520" max="11520" width="5.140625" style="3" customWidth="1"/>
    <col min="11521" max="11521" width="25.85546875" style="3" customWidth="1"/>
    <col min="11522" max="11522" width="11.85546875" style="3" customWidth="1"/>
    <col min="11523" max="11539" width="9.140625" style="3" customWidth="1"/>
    <col min="11540" max="11775" width="9" style="3"/>
    <col min="11776" max="11776" width="5.140625" style="3" customWidth="1"/>
    <col min="11777" max="11777" width="25.85546875" style="3" customWidth="1"/>
    <col min="11778" max="11778" width="11.85546875" style="3" customWidth="1"/>
    <col min="11779" max="11795" width="9.140625" style="3" customWidth="1"/>
    <col min="11796" max="12031" width="9" style="3"/>
    <col min="12032" max="12032" width="5.140625" style="3" customWidth="1"/>
    <col min="12033" max="12033" width="25.85546875" style="3" customWidth="1"/>
    <col min="12034" max="12034" width="11.85546875" style="3" customWidth="1"/>
    <col min="12035" max="12051" width="9.140625" style="3" customWidth="1"/>
    <col min="12052" max="12287" width="9" style="3"/>
    <col min="12288" max="12288" width="5.140625" style="3" customWidth="1"/>
    <col min="12289" max="12289" width="25.85546875" style="3" customWidth="1"/>
    <col min="12290" max="12290" width="11.85546875" style="3" customWidth="1"/>
    <col min="12291" max="12307" width="9.140625" style="3" customWidth="1"/>
    <col min="12308" max="12543" width="9" style="3"/>
    <col min="12544" max="12544" width="5.140625" style="3" customWidth="1"/>
    <col min="12545" max="12545" width="25.85546875" style="3" customWidth="1"/>
    <col min="12546" max="12546" width="11.85546875" style="3" customWidth="1"/>
    <col min="12547" max="12563" width="9.140625" style="3" customWidth="1"/>
    <col min="12564" max="12799" width="9" style="3"/>
    <col min="12800" max="12800" width="5.140625" style="3" customWidth="1"/>
    <col min="12801" max="12801" width="25.85546875" style="3" customWidth="1"/>
    <col min="12802" max="12802" width="11.85546875" style="3" customWidth="1"/>
    <col min="12803" max="12819" width="9.140625" style="3" customWidth="1"/>
    <col min="12820" max="13055" width="9" style="3"/>
    <col min="13056" max="13056" width="5.140625" style="3" customWidth="1"/>
    <col min="13057" max="13057" width="25.85546875" style="3" customWidth="1"/>
    <col min="13058" max="13058" width="11.85546875" style="3" customWidth="1"/>
    <col min="13059" max="13075" width="9.140625" style="3" customWidth="1"/>
    <col min="13076" max="13311" width="9" style="3"/>
    <col min="13312" max="13312" width="5.140625" style="3" customWidth="1"/>
    <col min="13313" max="13313" width="25.85546875" style="3" customWidth="1"/>
    <col min="13314" max="13314" width="11.85546875" style="3" customWidth="1"/>
    <col min="13315" max="13331" width="9.140625" style="3" customWidth="1"/>
    <col min="13332" max="13567" width="9" style="3"/>
    <col min="13568" max="13568" width="5.140625" style="3" customWidth="1"/>
    <col min="13569" max="13569" width="25.85546875" style="3" customWidth="1"/>
    <col min="13570" max="13570" width="11.85546875" style="3" customWidth="1"/>
    <col min="13571" max="13587" width="9.140625" style="3" customWidth="1"/>
    <col min="13588" max="13823" width="9" style="3"/>
    <col min="13824" max="13824" width="5.140625" style="3" customWidth="1"/>
    <col min="13825" max="13825" width="25.85546875" style="3" customWidth="1"/>
    <col min="13826" max="13826" width="11.85546875" style="3" customWidth="1"/>
    <col min="13827" max="13843" width="9.140625" style="3" customWidth="1"/>
    <col min="13844" max="14079" width="9" style="3"/>
    <col min="14080" max="14080" width="5.140625" style="3" customWidth="1"/>
    <col min="14081" max="14081" width="25.85546875" style="3" customWidth="1"/>
    <col min="14082" max="14082" width="11.85546875" style="3" customWidth="1"/>
    <col min="14083" max="14099" width="9.140625" style="3" customWidth="1"/>
    <col min="14100" max="14335" width="9" style="3"/>
    <col min="14336" max="14336" width="5.140625" style="3" customWidth="1"/>
    <col min="14337" max="14337" width="25.85546875" style="3" customWidth="1"/>
    <col min="14338" max="14338" width="11.85546875" style="3" customWidth="1"/>
    <col min="14339" max="14355" width="9.140625" style="3" customWidth="1"/>
    <col min="14356" max="14591" width="9" style="3"/>
    <col min="14592" max="14592" width="5.140625" style="3" customWidth="1"/>
    <col min="14593" max="14593" width="25.85546875" style="3" customWidth="1"/>
    <col min="14594" max="14594" width="11.85546875" style="3" customWidth="1"/>
    <col min="14595" max="14611" width="9.140625" style="3" customWidth="1"/>
    <col min="14612" max="14847" width="9" style="3"/>
    <col min="14848" max="14848" width="5.140625" style="3" customWidth="1"/>
    <col min="14849" max="14849" width="25.85546875" style="3" customWidth="1"/>
    <col min="14850" max="14850" width="11.85546875" style="3" customWidth="1"/>
    <col min="14851" max="14867" width="9.140625" style="3" customWidth="1"/>
    <col min="14868" max="15103" width="9" style="3"/>
    <col min="15104" max="15104" width="5.140625" style="3" customWidth="1"/>
    <col min="15105" max="15105" width="25.85546875" style="3" customWidth="1"/>
    <col min="15106" max="15106" width="11.85546875" style="3" customWidth="1"/>
    <col min="15107" max="15123" width="9.140625" style="3" customWidth="1"/>
    <col min="15124" max="15359" width="9" style="3"/>
    <col min="15360" max="15360" width="5.140625" style="3" customWidth="1"/>
    <col min="15361" max="15361" width="25.85546875" style="3" customWidth="1"/>
    <col min="15362" max="15362" width="11.85546875" style="3" customWidth="1"/>
    <col min="15363" max="15379" width="9.140625" style="3" customWidth="1"/>
    <col min="15380" max="15615" width="9" style="3"/>
    <col min="15616" max="15616" width="5.140625" style="3" customWidth="1"/>
    <col min="15617" max="15617" width="25.85546875" style="3" customWidth="1"/>
    <col min="15618" max="15618" width="11.85546875" style="3" customWidth="1"/>
    <col min="15619" max="15635" width="9.140625" style="3" customWidth="1"/>
    <col min="15636" max="15871" width="9" style="3"/>
    <col min="15872" max="15872" width="5.140625" style="3" customWidth="1"/>
    <col min="15873" max="15873" width="25.85546875" style="3" customWidth="1"/>
    <col min="15874" max="15874" width="11.85546875" style="3" customWidth="1"/>
    <col min="15875" max="15891" width="9.140625" style="3" customWidth="1"/>
    <col min="15892" max="16127" width="9" style="3"/>
    <col min="16128" max="16128" width="5.140625" style="3" customWidth="1"/>
    <col min="16129" max="16129" width="25.85546875" style="3" customWidth="1"/>
    <col min="16130" max="16130" width="11.85546875" style="3" customWidth="1"/>
    <col min="16131" max="16147" width="9.140625" style="3" customWidth="1"/>
    <col min="16148" max="16384" width="9" style="3"/>
  </cols>
  <sheetData>
    <row r="1" spans="1:21" ht="34.5" thickBot="1" x14ac:dyDescent="0.3">
      <c r="A1" s="176" t="s">
        <v>69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8"/>
      <c r="T1" s="1"/>
      <c r="U1" s="1"/>
    </row>
    <row r="2" spans="1:21" ht="159.75" customHeight="1" thickBot="1" x14ac:dyDescent="0.3">
      <c r="A2" s="4" t="s">
        <v>0</v>
      </c>
      <c r="B2" s="5" t="s">
        <v>1</v>
      </c>
      <c r="C2" s="6" t="s">
        <v>2</v>
      </c>
      <c r="D2" s="7" t="s">
        <v>70</v>
      </c>
      <c r="E2" s="8" t="s">
        <v>71</v>
      </c>
      <c r="F2" s="7" t="s">
        <v>79</v>
      </c>
      <c r="G2" s="7" t="s">
        <v>80</v>
      </c>
      <c r="H2" s="7" t="s">
        <v>95</v>
      </c>
      <c r="I2" s="7" t="s">
        <v>94</v>
      </c>
      <c r="J2" s="8" t="s">
        <v>113</v>
      </c>
      <c r="K2" s="8" t="s">
        <v>114</v>
      </c>
      <c r="L2" s="8" t="s">
        <v>144</v>
      </c>
      <c r="M2" s="8" t="s">
        <v>145</v>
      </c>
      <c r="N2" s="8" t="s">
        <v>146</v>
      </c>
      <c r="O2" s="8" t="s">
        <v>148</v>
      </c>
      <c r="P2" s="8" t="s">
        <v>149</v>
      </c>
      <c r="Q2" s="7" t="s">
        <v>170</v>
      </c>
      <c r="R2" s="8" t="s">
        <v>171</v>
      </c>
      <c r="S2" s="9" t="s">
        <v>3</v>
      </c>
      <c r="T2" s="10"/>
      <c r="U2" s="10"/>
    </row>
    <row r="3" spans="1:21" x14ac:dyDescent="0.25">
      <c r="A3" s="80" t="s">
        <v>4</v>
      </c>
      <c r="B3" s="14" t="s">
        <v>47</v>
      </c>
      <c r="C3" s="15" t="s">
        <v>48</v>
      </c>
      <c r="D3" s="86">
        <f>100-(102.9-102.9)/102.9*50</f>
        <v>100</v>
      </c>
      <c r="E3" s="16">
        <f>100-(85.43-81.22)/81.22*50</f>
        <v>97.408273824181236</v>
      </c>
      <c r="F3" s="135"/>
      <c r="G3" s="17"/>
      <c r="H3" s="17"/>
      <c r="I3" s="17"/>
      <c r="J3" s="17">
        <f>100-(29.07-29.07)/29.07*50</f>
        <v>100</v>
      </c>
      <c r="K3" s="17">
        <f>100-(58.8-58.8)/58.8*50</f>
        <v>100</v>
      </c>
      <c r="L3" s="16"/>
      <c r="M3" s="16"/>
      <c r="N3" s="16"/>
      <c r="O3" s="17">
        <f>100-(50.72-50.72)/50.72*50</f>
        <v>100</v>
      </c>
      <c r="P3" s="18">
        <f>100-(121.37-116.35)/116.35*50</f>
        <v>97.842715943274598</v>
      </c>
      <c r="Q3" s="94" t="s">
        <v>12</v>
      </c>
      <c r="R3" s="68">
        <f>100-(51.37-51.37)/51.37*50</f>
        <v>100</v>
      </c>
      <c r="S3" s="93">
        <f>SUM(D3:R3)</f>
        <v>695.25098976745585</v>
      </c>
    </row>
    <row r="4" spans="1:21" x14ac:dyDescent="0.25">
      <c r="A4" s="83" t="s">
        <v>6</v>
      </c>
      <c r="B4" s="23" t="s">
        <v>78</v>
      </c>
      <c r="C4" s="24" t="s">
        <v>7</v>
      </c>
      <c r="D4" s="116"/>
      <c r="E4" s="168">
        <f>100-(146.08-81.22)/81.22*50</f>
        <v>60.07141098251661</v>
      </c>
      <c r="F4" s="28"/>
      <c r="G4" s="28"/>
      <c r="H4" s="18">
        <f>100-(61.8-49.82)/49.82*50</f>
        <v>87.976716178241674</v>
      </c>
      <c r="I4" s="29"/>
      <c r="J4" s="132">
        <f>100-(49.28-29.07)/29.07*50</f>
        <v>65.239078087375304</v>
      </c>
      <c r="K4" s="132">
        <f>100-(88.78-58.8)/58.8*50</f>
        <v>74.506802721088434</v>
      </c>
      <c r="L4" s="18">
        <f>100-(166.07-166.07)/166.07*50</f>
        <v>100</v>
      </c>
      <c r="M4" s="18">
        <f>100-(61.32-61.32)/61.32*50</f>
        <v>100</v>
      </c>
      <c r="N4" s="18"/>
      <c r="O4" s="18">
        <f>100-(65.27-50.72)/50.72*50</f>
        <v>85.656545741324919</v>
      </c>
      <c r="P4" s="68">
        <f>100-(128.13-116.35)/116.35*50</f>
        <v>94.937688010313707</v>
      </c>
      <c r="Q4" s="18">
        <f>100-(92.32-92.32)/92.32*50</f>
        <v>100</v>
      </c>
      <c r="R4" s="68">
        <f>100-(71.83-51.37)/51.37*50</f>
        <v>80.085653104925058</v>
      </c>
      <c r="S4" s="26">
        <f>SUM(D4:R4)-E4-J4-K4</f>
        <v>648.65660303480536</v>
      </c>
    </row>
    <row r="5" spans="1:21" x14ac:dyDescent="0.25">
      <c r="A5" s="83" t="s">
        <v>8</v>
      </c>
      <c r="B5" s="23" t="s">
        <v>49</v>
      </c>
      <c r="C5" s="24" t="s">
        <v>22</v>
      </c>
      <c r="D5" s="134" t="s">
        <v>12</v>
      </c>
      <c r="E5" s="19">
        <f>100-(131.08-81.22)/81.22*50</f>
        <v>69.305589756217671</v>
      </c>
      <c r="F5" s="19"/>
      <c r="G5" s="19"/>
      <c r="H5" s="19">
        <f>100-(49.82-49.82)/49.82*50</f>
        <v>100</v>
      </c>
      <c r="I5" s="65">
        <f>100-(98.52-98.52)/98.52*50</f>
        <v>100</v>
      </c>
      <c r="J5" s="18">
        <f>100-(53.83-29.07)/29.07*50</f>
        <v>57.413140694874443</v>
      </c>
      <c r="K5" s="18">
        <f>100-(81.78-58.8)/58.8*50</f>
        <v>80.459183673469383</v>
      </c>
      <c r="L5" s="18"/>
      <c r="M5" s="18"/>
      <c r="N5" s="19"/>
      <c r="O5" s="18">
        <f>100-(77.07-50.72)/50.72*50</f>
        <v>74.024053627760253</v>
      </c>
      <c r="P5" s="106"/>
      <c r="Q5" s="19"/>
      <c r="R5" s="19"/>
      <c r="S5" s="26">
        <f t="shared" ref="S5:S11" si="0">SUM(D5:R5)</f>
        <v>481.20196775232182</v>
      </c>
    </row>
    <row r="6" spans="1:21" x14ac:dyDescent="0.25">
      <c r="A6" s="83" t="s">
        <v>11</v>
      </c>
      <c r="B6" s="23" t="s">
        <v>159</v>
      </c>
      <c r="C6" s="24" t="s">
        <v>19</v>
      </c>
      <c r="D6" s="134"/>
      <c r="E6" s="19"/>
      <c r="F6" s="19"/>
      <c r="G6" s="19"/>
      <c r="H6" s="19"/>
      <c r="I6" s="65"/>
      <c r="J6" s="18"/>
      <c r="K6" s="18"/>
      <c r="L6" s="18"/>
      <c r="M6" s="18"/>
      <c r="N6" s="19"/>
      <c r="O6" s="18">
        <f>100-(66.55-50.72)/50.72*50</f>
        <v>84.394716088328082</v>
      </c>
      <c r="P6" s="18">
        <f>100-(132.05-116.35)/116.35*50</f>
        <v>93.253115599484303</v>
      </c>
      <c r="Q6" s="19"/>
      <c r="R6" s="19"/>
      <c r="S6" s="26">
        <f t="shared" si="0"/>
        <v>177.64783168781238</v>
      </c>
    </row>
    <row r="7" spans="1:21" x14ac:dyDescent="0.25">
      <c r="A7" s="83" t="s">
        <v>13</v>
      </c>
      <c r="B7" s="23" t="s">
        <v>160</v>
      </c>
      <c r="C7" s="24" t="s">
        <v>19</v>
      </c>
      <c r="D7" s="134"/>
      <c r="E7" s="19"/>
      <c r="F7" s="19"/>
      <c r="G7" s="19"/>
      <c r="H7" s="19"/>
      <c r="I7" s="65"/>
      <c r="J7" s="18"/>
      <c r="K7" s="18"/>
      <c r="L7" s="18"/>
      <c r="M7" s="18"/>
      <c r="N7" s="19"/>
      <c r="O7" s="18">
        <f>100-(60.13-50.72)/50.72*50</f>
        <v>90.723580441640379</v>
      </c>
      <c r="P7" s="25">
        <f>100-(162.28-116.35)/116.35*50</f>
        <v>80.262140094542332</v>
      </c>
      <c r="Q7" s="19"/>
      <c r="R7" s="19"/>
      <c r="S7" s="26">
        <f t="shared" si="0"/>
        <v>170.98572053618273</v>
      </c>
    </row>
    <row r="8" spans="1:21" x14ac:dyDescent="0.25">
      <c r="A8" s="83" t="s">
        <v>15</v>
      </c>
      <c r="B8" s="23" t="s">
        <v>169</v>
      </c>
      <c r="C8" s="24" t="s">
        <v>19</v>
      </c>
      <c r="D8" s="134"/>
      <c r="E8" s="19"/>
      <c r="F8" s="19"/>
      <c r="G8" s="19"/>
      <c r="H8" s="19"/>
      <c r="I8" s="65"/>
      <c r="J8" s="18"/>
      <c r="K8" s="18"/>
      <c r="L8" s="18"/>
      <c r="M8" s="18"/>
      <c r="N8" s="19"/>
      <c r="O8" s="18"/>
      <c r="P8" s="25">
        <f>100-(116.35-116.35)/116.35*50</f>
        <v>100</v>
      </c>
      <c r="Q8" s="19"/>
      <c r="R8" s="19"/>
      <c r="S8" s="26">
        <f t="shared" si="0"/>
        <v>100</v>
      </c>
    </row>
    <row r="9" spans="1:21" x14ac:dyDescent="0.25">
      <c r="A9" s="83" t="s">
        <v>15</v>
      </c>
      <c r="B9" s="23" t="s">
        <v>41</v>
      </c>
      <c r="C9" s="24" t="s">
        <v>42</v>
      </c>
      <c r="D9" s="116"/>
      <c r="E9" s="19">
        <f>100-(81.22-81.22)/81.22*50</f>
        <v>100</v>
      </c>
      <c r="F9" s="119"/>
      <c r="G9" s="33"/>
      <c r="H9" s="33"/>
      <c r="I9" s="64"/>
      <c r="J9" s="21"/>
      <c r="K9" s="18"/>
      <c r="L9" s="18"/>
      <c r="M9" s="18"/>
      <c r="N9" s="19"/>
      <c r="O9" s="18"/>
      <c r="P9" s="18"/>
      <c r="Q9" s="19"/>
      <c r="R9" s="128"/>
      <c r="S9" s="26">
        <f t="shared" si="0"/>
        <v>100</v>
      </c>
    </row>
    <row r="10" spans="1:21" x14ac:dyDescent="0.25">
      <c r="A10" s="83" t="s">
        <v>20</v>
      </c>
      <c r="B10" s="23" t="s">
        <v>162</v>
      </c>
      <c r="C10" s="24" t="s">
        <v>163</v>
      </c>
      <c r="D10" s="134"/>
      <c r="E10" s="19"/>
      <c r="F10" s="18"/>
      <c r="G10" s="18"/>
      <c r="H10" s="19"/>
      <c r="I10" s="19"/>
      <c r="J10" s="18"/>
      <c r="K10" s="18"/>
      <c r="L10" s="18"/>
      <c r="M10" s="18"/>
      <c r="N10" s="19"/>
      <c r="O10" s="18">
        <f>100-(69.83-50.72)/50.72*50</f>
        <v>81.161277602523654</v>
      </c>
      <c r="P10" s="106"/>
      <c r="Q10" s="19"/>
      <c r="R10" s="25"/>
      <c r="S10" s="69">
        <f t="shared" si="0"/>
        <v>81.161277602523654</v>
      </c>
    </row>
    <row r="11" spans="1:21" ht="15.75" thickBot="1" x14ac:dyDescent="0.3">
      <c r="A11" s="84" t="s">
        <v>23</v>
      </c>
      <c r="B11" s="40" t="s">
        <v>161</v>
      </c>
      <c r="C11" s="41" t="s">
        <v>19</v>
      </c>
      <c r="D11" s="144"/>
      <c r="E11" s="90"/>
      <c r="F11" s="43"/>
      <c r="G11" s="43"/>
      <c r="H11" s="90"/>
      <c r="I11" s="43"/>
      <c r="J11" s="43"/>
      <c r="K11" s="43"/>
      <c r="L11" s="90"/>
      <c r="M11" s="43"/>
      <c r="N11" s="43"/>
      <c r="O11" s="43">
        <f>100-(71.73-50.72)/50.72*50</f>
        <v>79.288249211356458</v>
      </c>
      <c r="P11" s="145"/>
      <c r="Q11" s="43"/>
      <c r="R11" s="43"/>
      <c r="S11" s="107">
        <f t="shared" si="0"/>
        <v>79.288249211356458</v>
      </c>
    </row>
    <row r="12" spans="1:21" x14ac:dyDescent="0.25">
      <c r="A12" s="2"/>
      <c r="B12" s="2"/>
      <c r="C12" s="2"/>
      <c r="D12" s="2"/>
      <c r="E12" s="2"/>
      <c r="F12" s="52"/>
      <c r="G12" s="2"/>
      <c r="H12" s="2"/>
      <c r="I12" s="2"/>
      <c r="J12" s="2"/>
      <c r="K12" s="2"/>
      <c r="L12" s="2"/>
      <c r="M12" s="79"/>
      <c r="N12" s="2"/>
      <c r="O12" s="2"/>
      <c r="P12" s="2"/>
      <c r="Q12" s="2"/>
      <c r="R12" s="2"/>
      <c r="S12" s="51"/>
    </row>
    <row r="13" spans="1:21" x14ac:dyDescent="0.25">
      <c r="A13" s="2"/>
      <c r="B13" s="2"/>
      <c r="C13" s="2"/>
      <c r="D13" s="2"/>
      <c r="E13" s="2"/>
      <c r="F13" s="52"/>
      <c r="G13" s="2"/>
      <c r="H13" s="2"/>
      <c r="I13" s="2"/>
      <c r="J13" s="2"/>
      <c r="K13" s="2"/>
      <c r="L13" s="2"/>
      <c r="M13" s="2"/>
      <c r="N13" s="48"/>
      <c r="O13" s="48"/>
      <c r="P13" s="48"/>
      <c r="Q13" s="48"/>
      <c r="R13" s="2"/>
      <c r="S13" s="51"/>
    </row>
    <row r="14" spans="1:21" x14ac:dyDescent="0.25">
      <c r="A14" s="2"/>
      <c r="B14" s="2"/>
      <c r="C14" s="2"/>
      <c r="D14" s="2"/>
      <c r="E14" s="2"/>
      <c r="F14" s="5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21" s="53" customFormat="1" x14ac:dyDescent="0.25">
      <c r="A15" s="53" t="s">
        <v>36</v>
      </c>
    </row>
    <row r="16" spans="1:21" s="54" customFormat="1" x14ac:dyDescent="0.25">
      <c r="A16" s="54" t="s">
        <v>37</v>
      </c>
    </row>
  </sheetData>
  <sortState ref="B3:S11">
    <sortCondition descending="1" ref="S3"/>
  </sortState>
  <mergeCells count="1">
    <mergeCell ref="A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15</vt:i4>
      </vt:variant>
    </vt:vector>
  </HeadingPairs>
  <TitlesOfParts>
    <vt:vector size="15" baseType="lpstr">
      <vt:lpstr>Férfi Elit</vt:lpstr>
      <vt:lpstr>Női Elit</vt:lpstr>
      <vt:lpstr>N14</vt:lpstr>
      <vt:lpstr>F14</vt:lpstr>
      <vt:lpstr>N15-17</vt:lpstr>
      <vt:lpstr>F15-17</vt:lpstr>
      <vt:lpstr>N18-20</vt:lpstr>
      <vt:lpstr>F18-20</vt:lpstr>
      <vt:lpstr>N21B</vt:lpstr>
      <vt:lpstr>F21B</vt:lpstr>
      <vt:lpstr>N40</vt:lpstr>
      <vt:lpstr>F40</vt:lpstr>
      <vt:lpstr>N50</vt:lpstr>
      <vt:lpstr>F50</vt:lpstr>
      <vt:lpstr>F60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</dc:creator>
  <cp:lastModifiedBy>Tibor</cp:lastModifiedBy>
  <dcterms:created xsi:type="dcterms:W3CDTF">2015-10-05T14:47:48Z</dcterms:created>
  <dcterms:modified xsi:type="dcterms:W3CDTF">2016-09-28T06:07:17Z</dcterms:modified>
</cp:coreProperties>
</file>